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c6020a6d549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Денежный план" sheetId="1" r:id="R585d72f2c9884c62"/>
    <x:sheet xmlns:r="http://schemas.openxmlformats.org/officeDocument/2006/relationships" name="Реестр" sheetId="2" r:id="R0b52112d469c4d72"/>
    <x:sheet xmlns:r="http://schemas.openxmlformats.org/officeDocument/2006/relationships" name="Сверка" sheetId="3" r:id="R58e78feeb6944d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#,##0.00;(#,##0.00);0.00"/>
    <x:numFmt numFmtId="202" formatCode="#,##0.00&quot; ₽&quot;;(#,##0.00&quot; ₽&quot;);&quot;— ₽&quot;"/>
    <x:numFmt numFmtId="203" formatCode="0;0;&quot;—&quot;"/>
    <x:numFmt numFmtId="204" formatCode="#,##0.00;(#,##0.00);&quot;—&quot;"/>
  </x:numFmts>
  <x:fonts count="7">
    <x:font>
      <x:sz val="11"/>
      <x:name val="Carlito"/>
    </x:font>
    <x:font>
      <x:sz val="11"/>
      <x:color rgb="FF142139"/>
      <x:name val="Arial"/>
    </x:font>
    <x:font>
      <x:b/>
      <x:sz val="16"/>
      <x:color rgb="FF142139"/>
      <x:name val="Arial"/>
    </x:font>
    <x:font>
      <x:sz val="11"/>
      <x:color rgb="FF185ABD"/>
      <x:name val="Arial"/>
    </x:font>
    <x:font>
      <x:sz val="11"/>
      <x:color rgb="FF667085"/>
      <x:name val="Arial"/>
    </x:font>
    <x:font>
      <x:b/>
      <x:sz val="11"/>
      <x:color rgb="FFFFFFFF"/>
      <x:name val="Arial"/>
    </x:font>
    <x:font>
      <x:b/>
      <x:sz val="11"/>
      <x:color rgb="FF142139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D"/>
      </x:patternFill>
    </x:fill>
    <x:fill>
      <x:patternFill patternType="solid">
        <x:fgColor rgb="FF142139"/>
      </x:patternFill>
    </x:fill>
  </x:fills>
  <x:borders count="6">
    <x:border/>
    <x:border>
      <x:bottom style="thin">
        <x:color rgb="FFB58B37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thin">
        <x:color rgb="FFD6DDE7"/>
      </x:top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5" fillId="3" borderId="2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201" fontId="3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0" fontId="6" fillId="0" borderId="5" xfId="0" applyNumberFormat="1" applyFont="1" applyFill="1" applyBorder="1" applyAlignment="1">
      <x:alignment vertical="center"/>
    </x:xf>
    <x:xf numFmtId="201" fontId="6" fillId="0" borderId="5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3" fillId="2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4" fontId="6" fillId="0" borderId="0" xfId="0" applyNumberFormat="1" applyFont="1" applyFill="1" applyBorder="1" applyAlignment="1">
      <x:alignment vertical="center"/>
    </x:xf>
    <x:xf numFmtId="204" fontId="6" fillId="0" borderId="5" xfId="0" applyNumberFormat="1" applyFont="1" applyFill="1" applyBorder="1" applyAlignment="1">
      <x:alignment vertical="center"/>
    </x:xf>
  </x:cellXfs>
  <x:cellStyles count="1">
    <x:cellStyle name="Normal" xfId="0"/>
  </x:cellStyles>
  <x:dxfs count="5">
    <x:dxf>
      <x:font>
        <x:b/>
        <x:color rgb="FFA82020"/>
      </x:font>
      <x:fill>
        <x:patternFill patternType="solid">
          <x:bgColor rgb="FFFFE8E6"/>
        </x:patternFill>
      </x:fill>
    </x:dxf>
    <x:dxf>
      <x:font>
        <x:b/>
        <x:color rgb="FFA82020"/>
      </x:font>
      <x:fill>
        <x:patternFill patternType="solid">
          <x:bgColor rgb="FFFFE8E6"/>
        </x:patternFill>
      </x:fill>
    </x:dxf>
    <x:dxf>
      <x:font>
        <x:b/>
        <x:color rgb="FFA82020"/>
      </x:font>
      <x:fill>
        <x:patternFill patternType="solid">
          <x:bgColor rgb="FFFFE8E6"/>
        </x:patternFill>
      </x:fill>
    </x:dxf>
    <x:dxf>
      <x:font>
        <x:b/>
        <x:color rgb="FFA82020"/>
      </x:font>
      <x:fill>
        <x:patternFill patternType="solid">
          <x:bgColor rgb="FFFFE8E6"/>
        </x:patternFill>
      </x:fill>
    </x:dxf>
    <x:dxf>
      <x:font>
        <x:b/>
        <x:color rgb="FFA82020"/>
      </x:font>
      <x:fill>
        <x:patternFill patternType="solid">
          <x:bgColor rgb="FFFF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b26a28d86f49f4" /><Relationship Type="http://schemas.openxmlformats.org/officeDocument/2006/relationships/theme" Target="/xl/theme/theme1.xml" Id="R8ed50ba97d4342e9" /><Relationship Type="http://schemas.openxmlformats.org/officeDocument/2006/relationships/sharedStrings" Target="/xl/sharedStrings.xml" Id="Rf982ce971e264f76" /><Relationship Type="http://schemas.openxmlformats.org/officeDocument/2006/relationships/worksheet" Target="/xl/worksheets/sheet1.xml" Id="R585d72f2c9884c62" /><Relationship Type="http://schemas.openxmlformats.org/officeDocument/2006/relationships/worksheet" Target="/xl/worksheets/sheet2.xml" Id="R0b52112d469c4d72" /><Relationship Type="http://schemas.openxmlformats.org/officeDocument/2006/relationships/worksheet" Target="/xl/worksheets/sheet3.xml" Id="R58e78feeb6944dd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2f9dc668a28468a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Остаток ближайших 7 дней, ₽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На конец, ₽</c:v>
          </c:tx>
          <c:spPr>
            <a:ln xmlns:a="http://schemas.openxmlformats.org/drawingml/2006/main" w="19050">
              <a:solidFill>
                <a:srgbClr val="142139"/>
              </a:solidFill>
              <a:prstDash val="solid"/>
            </a:ln>
          </c:spPr>
          <c:marker>
            <c:symbol val="none"/>
          </c:marker>
          <c:cat>
            <c:strRef>
              <c:f>'Денежный план'!$K$19:$K$25</c:f>
              <c:strCache>
                <c:ptCount val="0"/>
              </c:strCache>
            </c:strRef>
          </c:cat>
          <c:val>
            <c:numRef>
              <c:f>'Денежный план'!$L$19:$L$25</c:f>
              <c:numCache>
                <c:formatCode>#,##0.00;(#,##0.00);"—"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10</xdr:col>
      <xdr:colOff>0</xdr:colOff>
      <xdr:row>8</xdr:row>
      <xdr:rowOff>0</xdr:rowOff>
    </xdr:from>
    <xdr:to>
      <xdr:col>17</xdr:col>
      <xdr:colOff>0</xdr:colOff>
      <xdr:row>17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2f9dc668a28468a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508f72af60a427f" /></Relationships>
</file>

<file path=xl/worksheets/sheet1.xml><?xml version="1.0" encoding="utf-8"?>
<x:worksheet xmlns:x="http://schemas.openxmlformats.org/spreadsheetml/2006/main">
  <x:sheetPr>
    <x:tabColor rgb="FF142139"/>
  </x:sheetPr>
  <x:sheetViews>
    <x:sheetView showGridLines="0" workbookViewId="0"/>
  </x:sheetViews>
  <x:sheetFormatPr defaultRowHeight="15"/>
  <x:cols>
    <x:col min="1" max="1" width="2.299999952316284" hidden="0" customWidth="1"/>
    <x:col min="2" max="2" width="2.299999952316284" hidden="0" customWidth="1"/>
    <x:col min="3" max="3" width="16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25" hidden="0" customWidth="1"/>
    <x:col min="9" max="9" width="20" hidden="0" customWidth="1"/>
    <x:col min="10" max="10" width="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</x:cols>
  <x:sheetData>
    <x:row r="2" ht="30" customHeight="1">
      <x:c r="C2" s="3" t="str">
        <x:v>Профит в кармане · Денежный план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4" customHeight="1"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</x:row>
    <x:row r="4" ht="24" customHeight="1">
      <x:c r="C4" s="9" t="str">
        <x:v>Учебный пример · рубли · ближайшие 7 дней и 13 недель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4" customHeight="1">
      <x:c r="C5" s="9" t="str">
        <x:v>Сверьте деньги → обновите реестр → подтвердите полноту операций по каждой неделе.</x:v>
      </x:c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4" customHeight="1">
      <x:c r="C6" s="9" t="str">
        <x:v>Прогноз включает ещё не согласованные выплаты. Положительный остаток не разрешает оплату и не заменяет проверку фондов.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4" customHeight="1">
      <x:c r="C7" s="19" t="str">
        <x:f>IF(NOT(ISNUMBER('Сверка'!D4)),"Укажите дату начала недели",IF(OR('Сверка'!D4&lt;=0,'Сверка'!D4&lt;&gt;INT('Сверка'!D4)),"Укажите корректную дату без времени",IF(WEEKDAY('Сверка'!D4,2)&lt;&gt;1,"Начало календарной недели — понедельник",IF(NOT(ISNUMBER('Сверка'!D23)),"Сначала завершите сверку по каждому счёту",IF('Реестр'!P5&gt;0,"Исправьте строки реестра с пометкой «Ошибка»",IF(I26&lt;&gt;C26,"Подтвердите полноту первой недели в столбце I","Первая неделя: исходные данные заполнены"))))))</x:f>
        <x:v>Первая неделя: исходные данные заполнены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4" customHeight="1"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42" customHeight="1">
      <x:c r="C9" s="14" t="str">
        <x:v>День</x:v>
      </x:c>
      <x:c r="D9" s="15" t="str">
        <x:v>На начало, ₽</x:v>
      </x:c>
      <x:c r="E9" s="15" t="str">
        <x:v>Поступления, ₽</x:v>
      </x:c>
      <x:c r="F9" s="15" t="str">
        <x:v>Выплаты, ₽</x:v>
      </x:c>
      <x:c r="G9" s="15" t="str">
        <x:v>На конец, ₽</x:v>
      </x:c>
      <x:c r="H9" s="16" t="str">
        <x:v>Проверка</x:v>
      </x:c>
      <x:c r="I9" s="2"/>
      <x:c r="J9" s="2"/>
      <x:c r="K9" s="2"/>
      <x:c r="L9" s="2"/>
      <x:c r="M9" s="2"/>
      <x:c r="N9" s="2"/>
      <x:c r="O9" s="2"/>
      <x:c r="P9" s="2"/>
    </x:row>
    <x:row r="10" ht="24" customHeight="1">
      <x:c r="C10" s="28" t="n">
        <x:f>IF(IF(ISNUMBER('Сверка'!$D$4),AND('Сверка'!$D$4&gt;0,'Сверка'!$D$4=INT('Сверка'!$D$4),WEEKDAY('Сверка'!$D$4,2)=1),FALSE),'Сверка'!$D$4+0,"")</x:f>
        <x:v>46279</x:v>
      </x:c>
      <x:c r="D10" s="27" t="n">
        <x:f>IF(AND(IF(ISNUMBER('Сверка'!$D$4),AND('Сверка'!$D$4&gt;0,'Сверка'!$D$4=INT('Сверка'!$D$4),WEEKDAY('Сверка'!$D$4,2)=1),FALSE),ISNUMBER('Сверка'!$D$23),'Реестр'!$P$5=0,ISNUMBER($I$26),$I$26=$C$26),'Сверка'!$D$23,"")</x:f>
        <x:v>100000</x:v>
      </x:c>
      <x:c r="E10" s="27" t="n">
        <x:f>IF(AND(IF(ISNUMBER('Сверка'!$D$4),AND('Сверка'!$D$4&gt;0,'Сверка'!$D$4=INT('Сверка'!$D$4),WEEKDAY('Сверка'!$D$4,2)=1),FALSE),ISNUMBER('Сверка'!$D$23),'Реестр'!$P$5=0,ISNUMBER($I$26),$I$26=$C$26),ROUND(SUMIFS('Реестр'!$L$10:$L$109,'Реестр'!$D$10:$D$109,"Поступление",'Реестр'!$I$10:$I$109,"&gt;="&amp;C10,'Реестр'!$I$10:$I$109,"&lt;"&amp;C10+1,'Реестр'!$P$10:$P$109,"В прогнозе"),2),"")</x:f>
        <x:v>0</x:v>
      </x:c>
      <x:c r="F10" s="27" t="n">
        <x:f>IF(AND(IF(ISNUMBER('Сверка'!$D$4),AND('Сверка'!$D$4&gt;0,'Сверка'!$D$4=INT('Сверка'!$D$4),WEEKDAY('Сверка'!$D$4,2)=1),FALSE),ISNUMBER('Сверка'!$D$23),'Реестр'!$P$5=0,ISNUMBER($I$26),$I$26=$C$26),ROUND(SUMIFS('Реестр'!$L$10:$L$109,'Реестр'!$D$10:$D$109,"Выплата",'Реестр'!$I$10:$I$109,"&gt;="&amp;C10,'Реестр'!$I$10:$I$109,"&lt;"&amp;C10+1,'Реестр'!$P$10:$P$109,"В прогнозе"),2),"")</x:f>
        <x:v>0</x:v>
      </x:c>
      <x:c r="G10" s="27" t="n">
        <x:f>IF(AND(ISNUMBER(D10),ISNUMBER(E10),ISNUMBER(F10)),ROUND(D10+E10-F10,2),"")</x:f>
        <x:v>100000</x:v>
      </x:c>
      <x:c r="H10" s="2" t="str">
        <x:f>IF(ISNUMBER(G10),IF(G10&lt;0,"Нехватка денег",""),"Нет расчёта")</x:f>
      </x:c>
      <x:c r="I10" s="2"/>
      <x:c r="J10" s="2"/>
      <x:c r="K10" s="2"/>
      <x:c r="L10" s="2"/>
      <x:c r="M10" s="2"/>
      <x:c r="N10" s="2"/>
      <x:c r="O10" s="2"/>
      <x:c r="P10" s="2"/>
    </x:row>
    <x:row r="11" ht="24" customHeight="1">
      <x:c r="C11" s="28" t="n">
        <x:f>IF(IF(ISNUMBER('Сверка'!$D$4),AND('Сверка'!$D$4&gt;0,'Сверка'!$D$4=INT('Сверка'!$D$4),WEEKDAY('Сверка'!$D$4,2)=1),FALSE),'Сверка'!$D$4+1,"")</x:f>
        <x:v>46280</x:v>
      </x:c>
      <x:c r="D11" s="27" t="n">
        <x:f>IF(AND(IF(ISNUMBER('Сверка'!$D$4),AND('Сверка'!$D$4&gt;0,'Сверка'!$D$4=INT('Сверка'!$D$4),WEEKDAY('Сверка'!$D$4,2)=1),FALSE),ISNUMBER('Сверка'!$D$23),'Реестр'!$P$5=0,ISNUMBER($I$26),$I$26=$C$26),G10,"")</x:f>
        <x:v>100000</x:v>
      </x:c>
      <x:c r="E11" s="27" t="n">
        <x:f>IF(AND(IF(ISNUMBER('Сверка'!$D$4),AND('Сверка'!$D$4&gt;0,'Сверка'!$D$4=INT('Сверка'!$D$4),WEEKDAY('Сверка'!$D$4,2)=1),FALSE),ISNUMBER('Сверка'!$D$23),'Реестр'!$P$5=0,ISNUMBER($I$26),$I$26=$C$26),ROUND(SUMIFS('Реестр'!$L$10:$L$109,'Реестр'!$D$10:$D$109,"Поступление",'Реестр'!$I$10:$I$109,"&gt;="&amp;C11,'Реестр'!$I$10:$I$109,"&lt;"&amp;C11+1,'Реестр'!$P$10:$P$109,"В прогнозе"),2),"")</x:f>
        <x:v>0</x:v>
      </x:c>
      <x:c r="F11" s="27" t="n">
        <x:f>IF(AND(IF(ISNUMBER('Сверка'!$D$4),AND('Сверка'!$D$4&gt;0,'Сверка'!$D$4=INT('Сверка'!$D$4),WEEKDAY('Сверка'!$D$4,2)=1),FALSE),ISNUMBER('Сверка'!$D$23),'Реестр'!$P$5=0,ISNUMBER($I$26),$I$26=$C$26),ROUND(SUMIFS('Реестр'!$L$10:$L$109,'Реестр'!$D$10:$D$109,"Выплата",'Реестр'!$I$10:$I$109,"&gt;="&amp;C11,'Реестр'!$I$10:$I$109,"&lt;"&amp;C11+1,'Реестр'!$P$10:$P$109,"В прогнозе"),2),"")</x:f>
        <x:v>150000</x:v>
      </x:c>
      <x:c r="G11" s="27" t="n">
        <x:f>IF(AND(ISNUMBER(D11),ISNUMBER(E11),ISNUMBER(F11)),ROUND(D11+E11-F11,2),"")</x:f>
        <x:v>-50000</x:v>
      </x:c>
      <x:c r="H11" s="2" t="str">
        <x:f>IF(ISNUMBER(G11),IF(G11&lt;0,"Нехватка денег",""),"Нет расчёта")</x:f>
        <x:v>Нехватка денег</x:v>
      </x:c>
      <x:c r="I11" s="2"/>
      <x:c r="J11" s="2"/>
      <x:c r="K11" s="2"/>
      <x:c r="L11" s="2"/>
      <x:c r="M11" s="2"/>
      <x:c r="N11" s="2"/>
      <x:c r="O11" s="2"/>
      <x:c r="P11" s="2"/>
    </x:row>
    <x:row r="12" ht="24" customHeight="1">
      <x:c r="C12" s="28" t="n">
        <x:f>IF(IF(ISNUMBER('Сверка'!$D$4),AND('Сверка'!$D$4&gt;0,'Сверка'!$D$4=INT('Сверка'!$D$4),WEEKDAY('Сверка'!$D$4,2)=1),FALSE),'Сверка'!$D$4+2,"")</x:f>
        <x:v>46281</x:v>
      </x:c>
      <x:c r="D12" s="27" t="n">
        <x:f>IF(AND(IF(ISNUMBER('Сверка'!$D$4),AND('Сверка'!$D$4&gt;0,'Сверка'!$D$4=INT('Сверка'!$D$4),WEEKDAY('Сверка'!$D$4,2)=1),FALSE),ISNUMBER('Сверка'!$D$23),'Реестр'!$P$5=0,ISNUMBER($I$26),$I$26=$C$26),G11,"")</x:f>
        <x:v>-50000</x:v>
      </x:c>
      <x:c r="E12" s="27" t="n">
        <x:f>IF(AND(IF(ISNUMBER('Сверка'!$D$4),AND('Сверка'!$D$4&gt;0,'Сверка'!$D$4=INT('Сверка'!$D$4),WEEKDAY('Сверка'!$D$4,2)=1),FALSE),ISNUMBER('Сверка'!$D$23),'Реестр'!$P$5=0,ISNUMBER($I$26),$I$26=$C$26),ROUND(SUMIFS('Реестр'!$L$10:$L$109,'Реестр'!$D$10:$D$109,"Поступление",'Реестр'!$I$10:$I$109,"&gt;="&amp;C12,'Реестр'!$I$10:$I$109,"&lt;"&amp;C12+1,'Реестр'!$P$10:$P$109,"В прогнозе"),2),"")</x:f>
        <x:v>0</x:v>
      </x:c>
      <x:c r="F12" s="27" t="n">
        <x:f>IF(AND(IF(ISNUMBER('Сверка'!$D$4),AND('Сверка'!$D$4&gt;0,'Сверка'!$D$4=INT('Сверка'!$D$4),WEEKDAY('Сверка'!$D$4,2)=1),FALSE),ISNUMBER('Сверка'!$D$23),'Реестр'!$P$5=0,ISNUMBER($I$26),$I$26=$C$26),ROUND(SUMIFS('Реестр'!$L$10:$L$109,'Реестр'!$D$10:$D$109,"Выплата",'Реестр'!$I$10:$I$109,"&gt;="&amp;C12,'Реестр'!$I$10:$I$109,"&lt;"&amp;C12+1,'Реестр'!$P$10:$P$109,"В прогнозе"),2),"")</x:f>
        <x:v>0</x:v>
      </x:c>
      <x:c r="G12" s="27" t="n">
        <x:f>IF(AND(ISNUMBER(D12),ISNUMBER(E12),ISNUMBER(F12)),ROUND(D12+E12-F12,2),"")</x:f>
        <x:v>-50000</x:v>
      </x:c>
      <x:c r="H12" s="2" t="str">
        <x:f>IF(ISNUMBER(G12),IF(G12&lt;0,"Нехватка денег",""),"Нет расчёта")</x:f>
        <x:v>Нехватка денег</x:v>
      </x:c>
      <x:c r="I12" s="2"/>
      <x:c r="J12" s="2"/>
      <x:c r="K12" s="2"/>
      <x:c r="L12" s="2"/>
      <x:c r="M12" s="2"/>
      <x:c r="N12" s="2"/>
      <x:c r="O12" s="2"/>
      <x:c r="P12" s="2"/>
    </x:row>
    <x:row r="13" ht="24" customHeight="1">
      <x:c r="C13" s="28" t="n">
        <x:f>IF(IF(ISNUMBER('Сверка'!$D$4),AND('Сверка'!$D$4&gt;0,'Сверка'!$D$4=INT('Сверка'!$D$4),WEEKDAY('Сверка'!$D$4,2)=1),FALSE),'Сверка'!$D$4+3,"")</x:f>
        <x:v>46282</x:v>
      </x:c>
      <x:c r="D13" s="27" t="n">
        <x:f>IF(AND(IF(ISNUMBER('Сверка'!$D$4),AND('Сверка'!$D$4&gt;0,'Сверка'!$D$4=INT('Сверка'!$D$4),WEEKDAY('Сверка'!$D$4,2)=1),FALSE),ISNUMBER('Сверка'!$D$23),'Реестр'!$P$5=0,ISNUMBER($I$26),$I$26=$C$26),G12,"")</x:f>
        <x:v>-50000</x:v>
      </x:c>
      <x:c r="E13" s="27" t="n">
        <x:f>IF(AND(IF(ISNUMBER('Сверка'!$D$4),AND('Сверка'!$D$4&gt;0,'Сверка'!$D$4=INT('Сверка'!$D$4),WEEKDAY('Сверка'!$D$4,2)=1),FALSE),ISNUMBER('Сверка'!$D$23),'Реестр'!$P$5=0,ISNUMBER($I$26),$I$26=$C$26),ROUND(SUMIFS('Реестр'!$L$10:$L$109,'Реестр'!$D$10:$D$109,"Поступление",'Реестр'!$I$10:$I$109,"&gt;="&amp;C13,'Реестр'!$I$10:$I$109,"&lt;"&amp;C13+1,'Реестр'!$P$10:$P$109,"В прогнозе"),2),"")</x:f>
        <x:v>0</x:v>
      </x:c>
      <x:c r="F13" s="27" t="n">
        <x:f>IF(AND(IF(ISNUMBER('Сверка'!$D$4),AND('Сверка'!$D$4&gt;0,'Сверка'!$D$4=INT('Сверка'!$D$4),WEEKDAY('Сверка'!$D$4,2)=1),FALSE),ISNUMBER('Сверка'!$D$23),'Реестр'!$P$5=0,ISNUMBER($I$26),$I$26=$C$26),ROUND(SUMIFS('Реестр'!$L$10:$L$109,'Реестр'!$D$10:$D$109,"Выплата",'Реестр'!$I$10:$I$109,"&gt;="&amp;C13,'Реестр'!$I$10:$I$109,"&lt;"&amp;C13+1,'Реестр'!$P$10:$P$109,"В прогнозе"),2),"")</x:f>
        <x:v>0</x:v>
      </x:c>
      <x:c r="G13" s="27" t="n">
        <x:f>IF(AND(ISNUMBER(D13),ISNUMBER(E13),ISNUMBER(F13)),ROUND(D13+E13-F13,2),"")</x:f>
        <x:v>-50000</x:v>
      </x:c>
      <x:c r="H13" s="2" t="str">
        <x:f>IF(ISNUMBER(G13),IF(G13&lt;0,"Нехватка денег",""),"Нет расчёта")</x:f>
        <x:v>Нехватка денег</x:v>
      </x:c>
      <x:c r="I13" s="2"/>
      <x:c r="J13" s="2"/>
      <x:c r="K13" s="2"/>
      <x:c r="L13" s="2"/>
      <x:c r="M13" s="2"/>
      <x:c r="N13" s="2"/>
      <x:c r="O13" s="2"/>
      <x:c r="P13" s="2"/>
    </x:row>
    <x:row r="14" ht="24" customHeight="1">
      <x:c r="C14" s="28" t="n">
        <x:f>IF(IF(ISNUMBER('Сверка'!$D$4),AND('Сверка'!$D$4&gt;0,'Сверка'!$D$4=INT('Сверка'!$D$4),WEEKDAY('Сверка'!$D$4,2)=1),FALSE),'Сверка'!$D$4+4,"")</x:f>
        <x:v>46283</x:v>
      </x:c>
      <x:c r="D14" s="27" t="n">
        <x:f>IF(AND(IF(ISNUMBER('Сверка'!$D$4),AND('Сверка'!$D$4&gt;0,'Сверка'!$D$4=INT('Сверка'!$D$4),WEEKDAY('Сверка'!$D$4,2)=1),FALSE),ISNUMBER('Сверка'!$D$23),'Реестр'!$P$5=0,ISNUMBER($I$26),$I$26=$C$26),G13,"")</x:f>
        <x:v>-50000</x:v>
      </x:c>
      <x:c r="E14" s="27" t="n">
        <x:f>IF(AND(IF(ISNUMBER('Сверка'!$D$4),AND('Сверка'!$D$4&gt;0,'Сверка'!$D$4=INT('Сверка'!$D$4),WEEKDAY('Сверка'!$D$4,2)=1),FALSE),ISNUMBER('Сверка'!$D$23),'Реестр'!$P$5=0,ISNUMBER($I$26),$I$26=$C$26),ROUND(SUMIFS('Реестр'!$L$10:$L$109,'Реестр'!$D$10:$D$109,"Поступление",'Реестр'!$I$10:$I$109,"&gt;="&amp;C14,'Реестр'!$I$10:$I$109,"&lt;"&amp;C14+1,'Реестр'!$P$10:$P$109,"В прогнозе"),2),"")</x:f>
        <x:v>200000</x:v>
      </x:c>
      <x:c r="F14" s="27" t="n">
        <x:f>IF(AND(IF(ISNUMBER('Сверка'!$D$4),AND('Сверка'!$D$4&gt;0,'Сверка'!$D$4=INT('Сверка'!$D$4),WEEKDAY('Сверка'!$D$4,2)=1),FALSE),ISNUMBER('Сверка'!$D$23),'Реестр'!$P$5=0,ISNUMBER($I$26),$I$26=$C$26),ROUND(SUMIFS('Реестр'!$L$10:$L$109,'Реестр'!$D$10:$D$109,"Выплата",'Реестр'!$I$10:$I$109,"&gt;="&amp;C14,'Реестр'!$I$10:$I$109,"&lt;"&amp;C14+1,'Реестр'!$P$10:$P$109,"В прогнозе"),2),"")</x:f>
        <x:v>0</x:v>
      </x:c>
      <x:c r="G14" s="27" t="n">
        <x:f>IF(AND(ISNUMBER(D14),ISNUMBER(E14),ISNUMBER(F14)),ROUND(D14+E14-F14,2),"")</x:f>
        <x:v>150000</x:v>
      </x:c>
      <x:c r="H14" s="2" t="str">
        <x:f>IF(ISNUMBER(G14),IF(G14&lt;0,"Нехватка денег",""),"Нет расчёта")</x:f>
      </x:c>
      <x:c r="I14" s="2"/>
      <x:c r="J14" s="2"/>
      <x:c r="K14" s="2"/>
      <x:c r="L14" s="2"/>
      <x:c r="M14" s="2"/>
      <x:c r="N14" s="2"/>
      <x:c r="O14" s="2"/>
      <x:c r="P14" s="2"/>
    </x:row>
    <x:row r="15" ht="24" customHeight="1">
      <x:c r="C15" s="28" t="n">
        <x:f>IF(IF(ISNUMBER('Сверка'!$D$4),AND('Сверка'!$D$4&gt;0,'Сверка'!$D$4=INT('Сверка'!$D$4),WEEKDAY('Сверка'!$D$4,2)=1),FALSE),'Сверка'!$D$4+5,"")</x:f>
        <x:v>46284</x:v>
      </x:c>
      <x:c r="D15" s="27" t="n">
        <x:f>IF(AND(IF(ISNUMBER('Сверка'!$D$4),AND('Сверка'!$D$4&gt;0,'Сверка'!$D$4=INT('Сверка'!$D$4),WEEKDAY('Сверка'!$D$4,2)=1),FALSE),ISNUMBER('Сверка'!$D$23),'Реестр'!$P$5=0,ISNUMBER($I$26),$I$26=$C$26),G14,"")</x:f>
        <x:v>150000</x:v>
      </x:c>
      <x:c r="E15" s="27" t="n">
        <x:f>IF(AND(IF(ISNUMBER('Сверка'!$D$4),AND('Сверка'!$D$4&gt;0,'Сверка'!$D$4=INT('Сверка'!$D$4),WEEKDAY('Сверка'!$D$4,2)=1),FALSE),ISNUMBER('Сверка'!$D$23),'Реестр'!$P$5=0,ISNUMBER($I$26),$I$26=$C$26),ROUND(SUMIFS('Реестр'!$L$10:$L$109,'Реестр'!$D$10:$D$109,"Поступление",'Реестр'!$I$10:$I$109,"&gt;="&amp;C15,'Реестр'!$I$10:$I$109,"&lt;"&amp;C15+1,'Реестр'!$P$10:$P$109,"В прогнозе"),2),"")</x:f>
        <x:v>0</x:v>
      </x:c>
      <x:c r="F15" s="27" t="n">
        <x:f>IF(AND(IF(ISNUMBER('Сверка'!$D$4),AND('Сверка'!$D$4&gt;0,'Сверка'!$D$4=INT('Сверка'!$D$4),WEEKDAY('Сверка'!$D$4,2)=1),FALSE),ISNUMBER('Сверка'!$D$23),'Реестр'!$P$5=0,ISNUMBER($I$26),$I$26=$C$26),ROUND(SUMIFS('Реестр'!$L$10:$L$109,'Реестр'!$D$10:$D$109,"Выплата",'Реестр'!$I$10:$I$109,"&gt;="&amp;C15,'Реестр'!$I$10:$I$109,"&lt;"&amp;C15+1,'Реестр'!$P$10:$P$109,"В прогнозе"),2),"")</x:f>
        <x:v>0</x:v>
      </x:c>
      <x:c r="G15" s="27" t="n">
        <x:f>IF(AND(ISNUMBER(D15),ISNUMBER(E15),ISNUMBER(F15)),ROUND(D15+E15-F15,2),"")</x:f>
        <x:v>150000</x:v>
      </x:c>
      <x:c r="H15" s="2" t="str">
        <x:f>IF(ISNUMBER(G15),IF(G15&lt;0,"Нехватка денег",""),"Нет расчёта")</x:f>
      </x:c>
      <x:c r="I15" s="2"/>
      <x:c r="J15" s="2"/>
      <x:c r="K15" s="2"/>
      <x:c r="L15" s="2"/>
      <x:c r="M15" s="2"/>
      <x:c r="N15" s="2"/>
      <x:c r="O15" s="2"/>
      <x:c r="P15" s="2"/>
    </x:row>
    <x:row r="16" ht="24" customHeight="1">
      <x:c r="C16" s="28" t="n">
        <x:f>IF(IF(ISNUMBER('Сверка'!$D$4),AND('Сверка'!$D$4&gt;0,'Сверка'!$D$4=INT('Сверка'!$D$4),WEEKDAY('Сверка'!$D$4,2)=1),FALSE),'Сверка'!$D$4+6,"")</x:f>
        <x:v>46285</x:v>
      </x:c>
      <x:c r="D16" s="27" t="n">
        <x:f>IF(AND(IF(ISNUMBER('Сверка'!$D$4),AND('Сверка'!$D$4&gt;0,'Сверка'!$D$4=INT('Сверка'!$D$4),WEEKDAY('Сверка'!$D$4,2)=1),FALSE),ISNUMBER('Сверка'!$D$23),'Реестр'!$P$5=0,ISNUMBER($I$26),$I$26=$C$26),G15,"")</x:f>
        <x:v>150000</x:v>
      </x:c>
      <x:c r="E16" s="27" t="n">
        <x:f>IF(AND(IF(ISNUMBER('Сверка'!$D$4),AND('Сверка'!$D$4&gt;0,'Сверка'!$D$4=INT('Сверка'!$D$4),WEEKDAY('Сверка'!$D$4,2)=1),FALSE),ISNUMBER('Сверка'!$D$23),'Реестр'!$P$5=0,ISNUMBER($I$26),$I$26=$C$26),ROUND(SUMIFS('Реестр'!$L$10:$L$109,'Реестр'!$D$10:$D$109,"Поступление",'Реестр'!$I$10:$I$109,"&gt;="&amp;C16,'Реестр'!$I$10:$I$109,"&lt;"&amp;C16+1,'Реестр'!$P$10:$P$109,"В прогнозе"),2),"")</x:f>
        <x:v>0</x:v>
      </x:c>
      <x:c r="F16" s="27" t="n">
        <x:f>IF(AND(IF(ISNUMBER('Сверка'!$D$4),AND('Сверка'!$D$4&gt;0,'Сверка'!$D$4=INT('Сверка'!$D$4),WEEKDAY('Сверка'!$D$4,2)=1),FALSE),ISNUMBER('Сверка'!$D$23),'Реестр'!$P$5=0,ISNUMBER($I$26),$I$26=$C$26),ROUND(SUMIFS('Реестр'!$L$10:$L$109,'Реестр'!$D$10:$D$109,"Выплата",'Реестр'!$I$10:$I$109,"&gt;="&amp;C16,'Реестр'!$I$10:$I$109,"&lt;"&amp;C16+1,'Реестр'!$P$10:$P$109,"В прогнозе"),2),"")</x:f>
        <x:v>0</x:v>
      </x:c>
      <x:c r="G16" s="27" t="n">
        <x:f>IF(AND(ISNUMBER(D16),ISNUMBER(E16),ISNUMBER(F16)),ROUND(D16+E16-F16,2),"")</x:f>
        <x:v>150000</x:v>
      </x:c>
      <x:c r="H16" s="2" t="str">
        <x:f>IF(ISNUMBER(G16),IF(G16&lt;0,"Нехватка денег",""),"Нет расчёта")</x:f>
      </x:c>
      <x:c r="I16" s="2"/>
      <x:c r="J16" s="2"/>
      <x:c r="K16" s="2"/>
      <x:c r="L16" s="2"/>
      <x:c r="M16" s="2"/>
      <x:c r="N16" s="2"/>
      <x:c r="O16" s="2"/>
      <x:c r="P16" s="2"/>
    </x:row>
    <x:row r="17" ht="24" customHeight="1"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4" customHeight="1">
      <x:c r="C18" s="19" t="str">
        <x:v>Минимум за 7 дней</x:v>
      </x:c>
      <x:c r="D18" s="19"/>
      <x:c r="E18" s="19"/>
      <x:c r="F18" s="19"/>
      <x:c r="G18" s="24" t="n">
        <x:f>IF(COUNT(G10:G16)=7,MIN(G10:G16),"")</x:f>
        <x:v>-50000</x:v>
      </x:c>
      <x:c r="H18" s="2"/>
      <x:c r="I18" s="2"/>
      <x:c r="J18" s="2"/>
      <x:c r="K18" s="9" t="str">
        <x:v>День</x:v>
      </x:c>
      <x:c r="L18" s="9" t="str">
        <x:v>На конец, ₽</x:v>
      </x:c>
      <x:c r="M18" s="2"/>
      <x:c r="N18" s="2"/>
      <x:c r="O18" s="2"/>
      <x:c r="P18" s="2"/>
    </x:row>
    <x:row r="19" ht="24" customHeight="1">
      <x:c r="C19" s="2"/>
      <x:c r="D19" s="2"/>
      <x:c r="E19" s="2"/>
      <x:c r="F19" s="2"/>
      <x:c r="G19" s="2"/>
      <x:c r="H19" s="2"/>
      <x:c r="I19" s="2"/>
      <x:c r="J19" s="2"/>
      <x:c r="K19" s="2" t="str">
        <x:f>IF(ISNUMBER(C10),"Пн","")</x:f>
        <x:v>Пн</x:v>
      </x:c>
      <x:c r="L19" s="27" t="n">
        <x:f>IF(ISNUMBER(G10),G10,"")</x:f>
        <x:v>100000</x:v>
      </x:c>
      <x:c r="M19" s="2"/>
      <x:c r="N19" s="2"/>
      <x:c r="O19" s="2"/>
      <x:c r="P19" s="2"/>
    </x:row>
    <x:row r="20" ht="24" customHeight="1">
      <x:c r="C20" s="2" t="str">
        <x:v>Выплаты без проверки к оплате, ближайшие 7 дней</x:v>
      </x:c>
      <x:c r="D20" s="2"/>
      <x:c r="E20" s="2"/>
      <x:c r="F20" s="2"/>
      <x:c r="G20" s="23" t="n">
        <x:f>IF(AND(IF(ISNUMBER('Сверка'!$D$4),AND('Сверка'!$D$4&gt;0,'Сверка'!$D$4=INT('Сверка'!$D$4),WEEKDAY('Сверка'!$D$4,2)=1),FALSE),ISNUMBER('Сверка'!$D$23),'Реестр'!$P$5=0,ISNUMBER($I$26),$I$26=$C$26),SUMIFS('Реестр'!$L$10:$L$109,'Реестр'!$D$10:$D$109,"Выплата",'Реестр'!$I$10:$I$109,"&gt;="&amp;C10,'Реестр'!$I$10:$I$109,"&lt;"&amp;C10+7,'Реестр'!$M$10:$M$109,"&lt;&gt;Проверено к оплате"),"")</x:f>
        <x:v>0</x:v>
      </x:c>
      <x:c r="H20" s="2"/>
      <x:c r="I20" s="2"/>
      <x:c r="J20" s="2"/>
      <x:c r="K20" s="2" t="str">
        <x:f>IF(ISNUMBER(C11),"Вт","")</x:f>
        <x:v>Вт</x:v>
      </x:c>
      <x:c r="L20" s="27" t="n">
        <x:f>IF(ISNUMBER(G11),G11,"")</x:f>
        <x:v>-50000</x:v>
      </x:c>
      <x:c r="M20" s="2"/>
      <x:c r="N20" s="2"/>
      <x:c r="O20" s="2"/>
      <x:c r="P20" s="2"/>
    </x:row>
    <x:row r="21" ht="24" customHeight="1">
      <x:c r="C21" s="2"/>
      <x:c r="D21" s="2"/>
      <x:c r="E21" s="2"/>
      <x:c r="F21" s="2"/>
      <x:c r="G21" s="2"/>
      <x:c r="H21" s="2"/>
      <x:c r="I21" s="2"/>
      <x:c r="J21" s="2"/>
      <x:c r="K21" s="2" t="str">
        <x:f>IF(ISNUMBER(C12),"Ср","")</x:f>
        <x:v>Ср</x:v>
      </x:c>
      <x:c r="L21" s="27" t="n">
        <x:f>IF(ISNUMBER(G12),G12,"")</x:f>
        <x:v>-50000</x:v>
      </x:c>
      <x:c r="M21" s="2"/>
      <x:c r="N21" s="2"/>
      <x:c r="O21" s="2"/>
      <x:c r="P21" s="2"/>
    </x:row>
    <x:row r="22" ht="24" customHeight="1">
      <x:c r="C22" s="9" t="str">
        <x:v>Жёлтые ячейки — ввод. В I подтвердите полноту реестра: впишите дату начала соответствующей недели из C.</x:v>
      </x:c>
      <x:c r="D22" s="2"/>
      <x:c r="E22" s="2"/>
      <x:c r="F22" s="2"/>
      <x:c r="G22" s="2"/>
      <x:c r="H22" s="2"/>
      <x:c r="I22" s="2"/>
      <x:c r="J22" s="2"/>
      <x:c r="K22" s="2" t="str">
        <x:f>IF(ISNUMBER(C13),"Чт","")</x:f>
        <x:v>Чт</x:v>
      </x:c>
      <x:c r="L22" s="27" t="n">
        <x:f>IF(ISNUMBER(G13),G13,"")</x:f>
        <x:v>-50000</x:v>
      </x:c>
      <x:c r="M22" s="2"/>
      <x:c r="N22" s="2"/>
      <x:c r="O22" s="2"/>
      <x:c r="P22" s="2"/>
    </x:row>
    <x:row r="23" ht="24" customHeight="1">
      <x:c r="C23" s="9" t="str">
        <x:v>При смене начала прогноза даты операций и отметки I сами не переносятся. Закройте факт и подтвердите новый план.</x:v>
      </x:c>
      <x:c r="D23" s="2"/>
      <x:c r="E23" s="2"/>
      <x:c r="F23" s="2"/>
      <x:c r="G23" s="2"/>
      <x:c r="H23" s="2"/>
      <x:c r="I23" s="2"/>
      <x:c r="J23" s="2"/>
      <x:c r="K23" s="2" t="str">
        <x:f>IF(ISNUMBER(C14),"Пт","")</x:f>
        <x:v>Пт</x:v>
      </x:c>
      <x:c r="L23" s="27" t="n">
        <x:f>IF(ISNUMBER(G14),G14,"")</x:f>
        <x:v>150000</x:v>
      </x:c>
      <x:c r="M23" s="2"/>
      <x:c r="N23" s="2"/>
      <x:c r="O23" s="2"/>
      <x:c r="P23" s="2"/>
    </x:row>
    <x:row r="24" ht="24" customHeight="1">
      <x:c r="C24" s="2"/>
      <x:c r="D24" s="2"/>
      <x:c r="E24" s="2"/>
      <x:c r="F24" s="2"/>
      <x:c r="G24" s="2"/>
      <x:c r="H24" s="2"/>
      <x:c r="I24" s="2"/>
      <x:c r="J24" s="2"/>
      <x:c r="K24" s="2" t="str">
        <x:f>IF(ISNUMBER(C15),"Сб","")</x:f>
        <x:v>Сб</x:v>
      </x:c>
      <x:c r="L24" s="27" t="n">
        <x:f>IF(ISNUMBER(G15),G15,"")</x:f>
        <x:v>150000</x:v>
      </x:c>
      <x:c r="M24" s="2"/>
      <x:c r="N24" s="2"/>
      <x:c r="O24" s="2"/>
      <x:c r="P24" s="2"/>
    </x:row>
    <x:row r="25" ht="58" customHeight="1">
      <x:c r="C25" s="14" t="str">
        <x:v>Неделя с</x:v>
      </x:c>
      <x:c r="D25" s="15" t="str">
        <x:v>На начало, ₽</x:v>
      </x:c>
      <x:c r="E25" s="15" t="str">
        <x:v>Поступления, ₽</x:v>
      </x:c>
      <x:c r="F25" s="15" t="str">
        <x:v>Выплаты, ₽</x:v>
      </x:c>
      <x:c r="G25" s="15" t="str">
        <x:v>На конец, ₽</x:v>
      </x:c>
      <x:c r="H25" s="15" t="str">
        <x:v>Проверка</x:v>
      </x:c>
      <x:c r="I25" s="16" t="str">
        <x:v>Реестр проверен на неделю с</x:v>
      </x:c>
      <x:c r="J25" s="2"/>
      <x:c r="K25" s="2" t="str">
        <x:f>IF(ISNUMBER(C16),"Вс","")</x:f>
        <x:v>Вс</x:v>
      </x:c>
      <x:c r="L25" s="27" t="n">
        <x:f>IF(ISNUMBER(G16),G16,"")</x:f>
        <x:v>150000</x:v>
      </x:c>
      <x:c r="M25" s="2"/>
      <x:c r="N25" s="2"/>
      <x:c r="O25" s="2"/>
      <x:c r="P25" s="2"/>
    </x:row>
    <x:row r="26" ht="24" customHeight="1">
      <x:c r="C26" s="28" t="n">
        <x:f>IF(IF(ISNUMBER('Сверка'!$D$4),AND('Сверка'!$D$4&gt;0,'Сверка'!$D$4=INT('Сверка'!$D$4),WEEKDAY('Сверка'!$D$4,2)=1),FALSE),'Сверка'!$D$4+0,"")</x:f>
        <x:v>46279</x:v>
      </x:c>
      <x:c r="D26" s="27" t="n">
        <x:f>IF(AND(AND(IF(ISNUMBER('Сверка'!$D$4),AND('Сверка'!$D$4&gt;0,'Сверка'!$D$4=INT('Сверка'!$D$4),WEEKDAY('Сверка'!$D$4,2)=1),FALSE),ISNUMBER('Сверка'!$D$23),'Реестр'!$P$5=0,ISNUMBER(I26),I26=C26),ISNUMBER('Сверка'!$D$23)),'Сверка'!$D$23,"")</x:f>
        <x:v>100000</x:v>
      </x:c>
      <x:c r="E26" s="27" t="n">
        <x:f>IF(AND(IF(ISNUMBER('Сверка'!$D$4),AND('Сверка'!$D$4&gt;0,'Сверка'!$D$4=INT('Сверка'!$D$4),WEEKDAY('Сверка'!$D$4,2)=1),FALSE),ISNUMBER('Сверка'!$D$23),'Реестр'!$P$5=0,ISNUMBER(I26),I26=C26),ROUND(SUMIFS('Реестр'!$L$10:$L$109,'Реестр'!$D$10:$D$109,"Поступление",'Реестр'!$I$10:$I$109,"&gt;="&amp;C26,'Реестр'!$I$10:$I$109,"&lt;"&amp;C26+7,'Реестр'!$P$10:$P$109,"В прогнозе"),2),"")</x:f>
        <x:v>200000</x:v>
      </x:c>
      <x:c r="F26" s="27" t="n">
        <x:f>IF(AND(IF(ISNUMBER('Сверка'!$D$4),AND('Сверка'!$D$4&gt;0,'Сверка'!$D$4=INT('Сверка'!$D$4),WEEKDAY('Сверка'!$D$4,2)=1),FALSE),ISNUMBER('Сверка'!$D$23),'Реестр'!$P$5=0,ISNUMBER(I26),I26=C26),ROUND(SUMIFS('Реестр'!$L$10:$L$109,'Реестр'!$D$10:$D$109,"Выплата",'Реестр'!$I$10:$I$109,"&gt;="&amp;C26,'Реестр'!$I$10:$I$109,"&lt;"&amp;C26+7,'Реестр'!$P$10:$P$109,"В прогнозе"),2),"")</x:f>
        <x:v>150000</x:v>
      </x:c>
      <x:c r="G26" s="27" t="n">
        <x:f>IF(AND(ISNUMBER(D26),ISNUMBER(E26),ISNUMBER(F26)),ROUND(D26+E26-F26,2),"")</x:f>
        <x:v>150000</x:v>
      </x:c>
      <x:c r="H26" s="2" t="str">
        <x:f>IF(NOT(ISNUMBER(G26)),"Нет расчёта",IF(G26&lt;0,"Нехватка денег",IF(26=26,IF($G$18&lt;0,"Есть дефицит внутри",""),"")))</x:f>
        <x:v>Есть дефицит внутри</x:v>
      </x:c>
      <x:c r="I26" s="8" t="n">
        <x:v>46279</x:v>
      </x:c>
      <x:c r="J26" s="2"/>
      <x:c r="K26" s="2"/>
      <x:c r="L26" s="2"/>
      <x:c r="M26" s="2"/>
      <x:c r="N26" s="2"/>
      <x:c r="O26" s="2"/>
      <x:c r="P26" s="2"/>
    </x:row>
    <x:row r="27" ht="24" customHeight="1">
      <x:c r="C27" s="28" t="n">
        <x:f>IF(IF(ISNUMBER('Сверка'!$D$4),AND('Сверка'!$D$4&gt;0,'Сверка'!$D$4=INT('Сверка'!$D$4),WEEKDAY('Сверка'!$D$4,2)=1),FALSE),'Сверка'!$D$4+7,"")</x:f>
        <x:v>46286</x:v>
      </x:c>
      <x:c r="D27" s="27" t="n">
        <x:f>IF(AND(AND(IF(ISNUMBER('Сверка'!$D$4),AND('Сверка'!$D$4&gt;0,'Сверка'!$D$4=INT('Сверка'!$D$4),WEEKDAY('Сверка'!$D$4,2)=1),FALSE),ISNUMBER('Сверка'!$D$23),'Реестр'!$P$5=0,ISNUMBER(I27),I27=C27),ISNUMBER(G26)),G26,"")</x:f>
        <x:v>150000</x:v>
      </x:c>
      <x:c r="E27" s="27" t="n">
        <x:f>IF(AND(IF(ISNUMBER('Сверка'!$D$4),AND('Сверка'!$D$4&gt;0,'Сверка'!$D$4=INT('Сверка'!$D$4),WEEKDAY('Сверка'!$D$4,2)=1),FALSE),ISNUMBER('Сверка'!$D$23),'Реестр'!$P$5=0,ISNUMBER(I27),I27=C27),ROUND(SUMIFS('Реестр'!$L$10:$L$109,'Реестр'!$D$10:$D$109,"Поступление",'Реестр'!$I$10:$I$109,"&gt;="&amp;C27,'Реестр'!$I$10:$I$109,"&lt;"&amp;C27+7,'Реестр'!$P$10:$P$109,"В прогнозе"),2),"")</x:f>
        <x:v>120000</x:v>
      </x:c>
      <x:c r="F27" s="27" t="n">
        <x:f>IF(AND(IF(ISNUMBER('Сверка'!$D$4),AND('Сверка'!$D$4&gt;0,'Сверка'!$D$4=INT('Сверка'!$D$4),WEEKDAY('Сверка'!$D$4,2)=1),FALSE),ISNUMBER('Сверка'!$D$23),'Реестр'!$P$5=0,ISNUMBER(I27),I27=C27),ROUND(SUMIFS('Реестр'!$L$10:$L$109,'Реестр'!$D$10:$D$109,"Выплата",'Реестр'!$I$10:$I$109,"&gt;="&amp;C27,'Реестр'!$I$10:$I$109,"&lt;"&amp;C27+7,'Реестр'!$P$10:$P$109,"В прогнозе"),2),"")</x:f>
        <x:v>170000</x:v>
      </x:c>
      <x:c r="G27" s="27" t="n">
        <x:f>IF(AND(ISNUMBER(D27),ISNUMBER(E27),ISNUMBER(F27)),ROUND(D27+E27-F27,2),"")</x:f>
        <x:v>100000</x:v>
      </x:c>
      <x:c r="H27" s="2" t="str">
        <x:f>IF(NOT(ISNUMBER(G27)),"Нет расчёта",IF(G27&lt;0,"Нехватка денег",IF(27=26,IF($G$18&lt;0,"Есть дефицит внутри",""),"")))</x:f>
      </x:c>
      <x:c r="I27" s="8" t="n">
        <x:v>46286</x:v>
      </x:c>
      <x:c r="J27" s="2"/>
      <x:c r="K27" s="2"/>
      <x:c r="L27" s="2"/>
      <x:c r="M27" s="2"/>
      <x:c r="N27" s="2"/>
      <x:c r="O27" s="2"/>
      <x:c r="P27" s="2"/>
    </x:row>
    <x:row r="28" ht="24" customHeight="1">
      <x:c r="C28" s="28" t="n">
        <x:f>IF(IF(ISNUMBER('Сверка'!$D$4),AND('Сверка'!$D$4&gt;0,'Сверка'!$D$4=INT('Сверка'!$D$4),WEEKDAY('Сверка'!$D$4,2)=1),FALSE),'Сверка'!$D$4+14,"")</x:f>
        <x:v>46293</x:v>
      </x:c>
      <x:c r="D28" s="27" t="n">
        <x:f>IF(AND(AND(IF(ISNUMBER('Сверка'!$D$4),AND('Сверка'!$D$4&gt;0,'Сверка'!$D$4=INT('Сверка'!$D$4),WEEKDAY('Сверка'!$D$4,2)=1),FALSE),ISNUMBER('Сверка'!$D$23),'Реестр'!$P$5=0,ISNUMBER(I28),I28=C28),ISNUMBER(G27)),G27,"")</x:f>
        <x:v>100000</x:v>
      </x:c>
      <x:c r="E28" s="27" t="n">
        <x:f>IF(AND(IF(ISNUMBER('Сверка'!$D$4),AND('Сверка'!$D$4&gt;0,'Сверка'!$D$4=INT('Сверка'!$D$4),WEEKDAY('Сверка'!$D$4,2)=1),FALSE),ISNUMBER('Сверка'!$D$23),'Реестр'!$P$5=0,ISNUMBER(I28),I28=C28),ROUND(SUMIFS('Реестр'!$L$10:$L$109,'Реестр'!$D$10:$D$109,"Поступление",'Реестр'!$I$10:$I$109,"&gt;="&amp;C28,'Реестр'!$I$10:$I$109,"&lt;"&amp;C28+7,'Реестр'!$P$10:$P$109,"В прогнозе"),2),"")</x:f>
        <x:v>100000</x:v>
      </x:c>
      <x:c r="F28" s="27" t="n">
        <x:f>IF(AND(IF(ISNUMBER('Сверка'!$D$4),AND('Сверка'!$D$4&gt;0,'Сверка'!$D$4=INT('Сверка'!$D$4),WEEKDAY('Сверка'!$D$4,2)=1),FALSE),ISNUMBER('Сверка'!$D$23),'Реестр'!$P$5=0,ISNUMBER(I28),I28=C28),ROUND(SUMIFS('Реестр'!$L$10:$L$109,'Реестр'!$D$10:$D$109,"Выплата",'Реестр'!$I$10:$I$109,"&gt;="&amp;C28,'Реестр'!$I$10:$I$109,"&lt;"&amp;C28+7,'Реестр'!$P$10:$P$109,"В прогнозе"),2),"")</x:f>
        <x:v>95000</x:v>
      </x:c>
      <x:c r="G28" s="27" t="n">
        <x:f>IF(AND(ISNUMBER(D28),ISNUMBER(E28),ISNUMBER(F28)),ROUND(D28+E28-F28,2),"")</x:f>
        <x:v>105000</x:v>
      </x:c>
      <x:c r="H28" s="2" t="str">
        <x:f>IF(NOT(ISNUMBER(G28)),"Нет расчёта",IF(G28&lt;0,"Нехватка денег",IF(28=26,IF($G$18&lt;0,"Есть дефицит внутри",""),"")))</x:f>
      </x:c>
      <x:c r="I28" s="8" t="n">
        <x:v>46293</x:v>
      </x:c>
      <x:c r="J28" s="2"/>
      <x:c r="K28" s="2"/>
      <x:c r="L28" s="2"/>
      <x:c r="M28" s="2"/>
      <x:c r="N28" s="2"/>
      <x:c r="O28" s="2"/>
      <x:c r="P28" s="2"/>
    </x:row>
    <x:row r="29" ht="24" customHeight="1">
      <x:c r="C29" s="28" t="n">
        <x:f>IF(IF(ISNUMBER('Сверка'!$D$4),AND('Сверка'!$D$4&gt;0,'Сверка'!$D$4=INT('Сверка'!$D$4),WEEKDAY('Сверка'!$D$4,2)=1),FALSE),'Сверка'!$D$4+21,"")</x:f>
        <x:v>46300</x:v>
      </x:c>
      <x:c r="D29" s="27" t="n">
        <x:f>IF(AND(AND(IF(ISNUMBER('Сверка'!$D$4),AND('Сверка'!$D$4&gt;0,'Сверка'!$D$4=INT('Сверка'!$D$4),WEEKDAY('Сверка'!$D$4,2)=1),FALSE),ISNUMBER('Сверка'!$D$23),'Реестр'!$P$5=0,ISNUMBER(I29),I29=C29),ISNUMBER(G28)),G28,"")</x:f>
        <x:v>105000</x:v>
      </x:c>
      <x:c r="E29" s="27" t="n">
        <x:f>IF(AND(IF(ISNUMBER('Сверка'!$D$4),AND('Сверка'!$D$4&gt;0,'Сверка'!$D$4=INT('Сверка'!$D$4),WEEKDAY('Сверка'!$D$4,2)=1),FALSE),ISNUMBER('Сверка'!$D$23),'Реестр'!$P$5=0,ISNUMBER(I29),I29=C29),ROUND(SUMIFS('Реестр'!$L$10:$L$109,'Реестр'!$D$10:$D$109,"Поступление",'Реестр'!$I$10:$I$109,"&gt;="&amp;C29,'Реестр'!$I$10:$I$109,"&lt;"&amp;C29+7,'Реестр'!$P$10:$P$109,"В прогнозе"),2),"")</x:f>
        <x:v>100000</x:v>
      </x:c>
      <x:c r="F29" s="27" t="n">
        <x:f>IF(AND(IF(ISNUMBER('Сверка'!$D$4),AND('Сверка'!$D$4&gt;0,'Сверка'!$D$4=INT('Сверка'!$D$4),WEEKDAY('Сверка'!$D$4,2)=1),FALSE),ISNUMBER('Сверка'!$D$23),'Реестр'!$P$5=0,ISNUMBER(I29),I29=C29),ROUND(SUMIFS('Реестр'!$L$10:$L$109,'Реестр'!$D$10:$D$109,"Выплата",'Реестр'!$I$10:$I$109,"&gt;="&amp;C29,'Реестр'!$I$10:$I$109,"&lt;"&amp;C29+7,'Реестр'!$P$10:$P$109,"В прогнозе"),2),"")</x:f>
        <x:v>95000</x:v>
      </x:c>
      <x:c r="G29" s="27" t="n">
        <x:f>IF(AND(ISNUMBER(D29),ISNUMBER(E29),ISNUMBER(F29)),ROUND(D29+E29-F29,2),"")</x:f>
        <x:v>110000</x:v>
      </x:c>
      <x:c r="H29" s="2" t="str">
        <x:f>IF(NOT(ISNUMBER(G29)),"Нет расчёта",IF(G29&lt;0,"Нехватка денег",IF(29=26,IF($G$18&lt;0,"Есть дефицит внутри",""),"")))</x:f>
      </x:c>
      <x:c r="I29" s="8" t="n">
        <x:v>46300</x:v>
      </x:c>
      <x:c r="J29" s="2"/>
      <x:c r="K29" s="2"/>
      <x:c r="L29" s="2"/>
      <x:c r="M29" s="2"/>
      <x:c r="N29" s="2"/>
      <x:c r="O29" s="2"/>
      <x:c r="P29" s="2"/>
    </x:row>
    <x:row r="30" ht="24" customHeight="1">
      <x:c r="C30" s="28" t="n">
        <x:f>IF(IF(ISNUMBER('Сверка'!$D$4),AND('Сверка'!$D$4&gt;0,'Сверка'!$D$4=INT('Сверка'!$D$4),WEEKDAY('Сверка'!$D$4,2)=1),FALSE),'Сверка'!$D$4+28,"")</x:f>
        <x:v>46307</x:v>
      </x:c>
      <x:c r="D30" s="27" t="n">
        <x:f>IF(AND(AND(IF(ISNUMBER('Сверка'!$D$4),AND('Сверка'!$D$4&gt;0,'Сверка'!$D$4=INT('Сверка'!$D$4),WEEKDAY('Сверка'!$D$4,2)=1),FALSE),ISNUMBER('Сверка'!$D$23),'Реестр'!$P$5=0,ISNUMBER(I30),I30=C30),ISNUMBER(G29)),G29,"")</x:f>
        <x:v>110000</x:v>
      </x:c>
      <x:c r="E30" s="27" t="n">
        <x:f>IF(AND(IF(ISNUMBER('Сверка'!$D$4),AND('Сверка'!$D$4&gt;0,'Сверка'!$D$4=INT('Сверка'!$D$4),WEEKDAY('Сверка'!$D$4,2)=1),FALSE),ISNUMBER('Сверка'!$D$23),'Реестр'!$P$5=0,ISNUMBER(I30),I30=C30),ROUND(SUMIFS('Реестр'!$L$10:$L$109,'Реестр'!$D$10:$D$109,"Поступление",'Реестр'!$I$10:$I$109,"&gt;="&amp;C30,'Реестр'!$I$10:$I$109,"&lt;"&amp;C30+7,'Реестр'!$P$10:$P$109,"В прогнозе"),2),"")</x:f>
        <x:v>100000</x:v>
      </x:c>
      <x:c r="F30" s="27" t="n">
        <x:f>IF(AND(IF(ISNUMBER('Сверка'!$D$4),AND('Сверка'!$D$4&gt;0,'Сверка'!$D$4=INT('Сверка'!$D$4),WEEKDAY('Сверка'!$D$4,2)=1),FALSE),ISNUMBER('Сверка'!$D$23),'Реестр'!$P$5=0,ISNUMBER(I30),I30=C30),ROUND(SUMIFS('Реестр'!$L$10:$L$109,'Реестр'!$D$10:$D$109,"Выплата",'Реестр'!$I$10:$I$109,"&gt;="&amp;C30,'Реестр'!$I$10:$I$109,"&lt;"&amp;C30+7,'Реестр'!$P$10:$P$109,"В прогнозе"),2),"")</x:f>
        <x:v>95000</x:v>
      </x:c>
      <x:c r="G30" s="27" t="n">
        <x:f>IF(AND(ISNUMBER(D30),ISNUMBER(E30),ISNUMBER(F30)),ROUND(D30+E30-F30,2),"")</x:f>
        <x:v>115000</x:v>
      </x:c>
      <x:c r="H30" s="2" t="str">
        <x:f>IF(NOT(ISNUMBER(G30)),"Нет расчёта",IF(G30&lt;0,"Нехватка денег",IF(30=26,IF($G$18&lt;0,"Есть дефицит внутри",""),"")))</x:f>
      </x:c>
      <x:c r="I30" s="8" t="n">
        <x:v>46307</x:v>
      </x:c>
      <x:c r="J30" s="2"/>
      <x:c r="K30" s="2"/>
      <x:c r="L30" s="2"/>
      <x:c r="M30" s="2"/>
      <x:c r="N30" s="2"/>
      <x:c r="O30" s="2"/>
      <x:c r="P30" s="2"/>
    </x:row>
    <x:row r="31" ht="24" customHeight="1">
      <x:c r="C31" s="28" t="n">
        <x:f>IF(IF(ISNUMBER('Сверка'!$D$4),AND('Сверка'!$D$4&gt;0,'Сверка'!$D$4=INT('Сверка'!$D$4),WEEKDAY('Сверка'!$D$4,2)=1),FALSE),'Сверка'!$D$4+35,"")</x:f>
        <x:v>46314</x:v>
      </x:c>
      <x:c r="D31" s="27" t="n">
        <x:f>IF(AND(AND(IF(ISNUMBER('Сверка'!$D$4),AND('Сверка'!$D$4&gt;0,'Сверка'!$D$4=INT('Сверка'!$D$4),WEEKDAY('Сверка'!$D$4,2)=1),FALSE),ISNUMBER('Сверка'!$D$23),'Реестр'!$P$5=0,ISNUMBER(I31),I31=C31),ISNUMBER(G30)),G30,"")</x:f>
        <x:v>115000</x:v>
      </x:c>
      <x:c r="E31" s="27" t="n">
        <x:f>IF(AND(IF(ISNUMBER('Сверка'!$D$4),AND('Сверка'!$D$4&gt;0,'Сверка'!$D$4=INT('Сверка'!$D$4),WEEKDAY('Сверка'!$D$4,2)=1),FALSE),ISNUMBER('Сверка'!$D$23),'Реестр'!$P$5=0,ISNUMBER(I31),I31=C31),ROUND(SUMIFS('Реестр'!$L$10:$L$109,'Реестр'!$D$10:$D$109,"Поступление",'Реестр'!$I$10:$I$109,"&gt;="&amp;C31,'Реестр'!$I$10:$I$109,"&lt;"&amp;C31+7,'Реестр'!$P$10:$P$109,"В прогнозе"),2),"")</x:f>
        <x:v>100000</x:v>
      </x:c>
      <x:c r="F31" s="27" t="n">
        <x:f>IF(AND(IF(ISNUMBER('Сверка'!$D$4),AND('Сверка'!$D$4&gt;0,'Сверка'!$D$4=INT('Сверка'!$D$4),WEEKDAY('Сверка'!$D$4,2)=1),FALSE),ISNUMBER('Сверка'!$D$23),'Реестр'!$P$5=0,ISNUMBER(I31),I31=C31),ROUND(SUMIFS('Реестр'!$L$10:$L$109,'Реестр'!$D$10:$D$109,"Выплата",'Реестр'!$I$10:$I$109,"&gt;="&amp;C31,'Реестр'!$I$10:$I$109,"&lt;"&amp;C31+7,'Реестр'!$P$10:$P$109,"В прогнозе"),2),"")</x:f>
        <x:v>95000</x:v>
      </x:c>
      <x:c r="G31" s="27" t="n">
        <x:f>IF(AND(ISNUMBER(D31),ISNUMBER(E31),ISNUMBER(F31)),ROUND(D31+E31-F31,2),"")</x:f>
        <x:v>120000</x:v>
      </x:c>
      <x:c r="H31" s="2" t="str">
        <x:f>IF(NOT(ISNUMBER(G31)),"Нет расчёта",IF(G31&lt;0,"Нехватка денег",IF(31=26,IF($G$18&lt;0,"Есть дефицит внутри",""),"")))</x:f>
      </x:c>
      <x:c r="I31" s="8" t="n">
        <x:v>46314</x:v>
      </x:c>
      <x:c r="J31" s="2"/>
      <x:c r="K31" s="2"/>
      <x:c r="L31" s="2"/>
      <x:c r="M31" s="2"/>
      <x:c r="N31" s="2"/>
      <x:c r="O31" s="2"/>
      <x:c r="P31" s="2"/>
    </x:row>
    <x:row r="32" ht="24" customHeight="1">
      <x:c r="C32" s="28" t="n">
        <x:f>IF(IF(ISNUMBER('Сверка'!$D$4),AND('Сверка'!$D$4&gt;0,'Сверка'!$D$4=INT('Сверка'!$D$4),WEEKDAY('Сверка'!$D$4,2)=1),FALSE),'Сверка'!$D$4+42,"")</x:f>
        <x:v>46321</x:v>
      </x:c>
      <x:c r="D32" s="27" t="n">
        <x:f>IF(AND(AND(IF(ISNUMBER('Сверка'!$D$4),AND('Сверка'!$D$4&gt;0,'Сверка'!$D$4=INT('Сверка'!$D$4),WEEKDAY('Сверка'!$D$4,2)=1),FALSE),ISNUMBER('Сверка'!$D$23),'Реестр'!$P$5=0,ISNUMBER(I32),I32=C32),ISNUMBER(G31)),G31,"")</x:f>
        <x:v>120000</x:v>
      </x:c>
      <x:c r="E32" s="27" t="n">
        <x:f>IF(AND(IF(ISNUMBER('Сверка'!$D$4),AND('Сверка'!$D$4&gt;0,'Сверка'!$D$4=INT('Сверка'!$D$4),WEEKDAY('Сверка'!$D$4,2)=1),FALSE),ISNUMBER('Сверка'!$D$23),'Реестр'!$P$5=0,ISNUMBER(I32),I32=C32),ROUND(SUMIFS('Реестр'!$L$10:$L$109,'Реестр'!$D$10:$D$109,"Поступление",'Реестр'!$I$10:$I$109,"&gt;="&amp;C32,'Реестр'!$I$10:$I$109,"&lt;"&amp;C32+7,'Реестр'!$P$10:$P$109,"В прогнозе"),2),"")</x:f>
        <x:v>100000</x:v>
      </x:c>
      <x:c r="F32" s="27" t="n">
        <x:f>IF(AND(IF(ISNUMBER('Сверка'!$D$4),AND('Сверка'!$D$4&gt;0,'Сверка'!$D$4=INT('Сверка'!$D$4),WEEKDAY('Сверка'!$D$4,2)=1),FALSE),ISNUMBER('Сверка'!$D$23),'Реестр'!$P$5=0,ISNUMBER(I32),I32=C32),ROUND(SUMIFS('Реестр'!$L$10:$L$109,'Реестр'!$D$10:$D$109,"Выплата",'Реестр'!$I$10:$I$109,"&gt;="&amp;C32,'Реестр'!$I$10:$I$109,"&lt;"&amp;C32+7,'Реестр'!$P$10:$P$109,"В прогнозе"),2),"")</x:f>
        <x:v>95000</x:v>
      </x:c>
      <x:c r="G32" s="27" t="n">
        <x:f>IF(AND(ISNUMBER(D32),ISNUMBER(E32),ISNUMBER(F32)),ROUND(D32+E32-F32,2),"")</x:f>
        <x:v>125000</x:v>
      </x:c>
      <x:c r="H32" s="2" t="str">
        <x:f>IF(NOT(ISNUMBER(G32)),"Нет расчёта",IF(G32&lt;0,"Нехватка денег",IF(32=26,IF($G$18&lt;0,"Есть дефицит внутри",""),"")))</x:f>
      </x:c>
      <x:c r="I32" s="8" t="n">
        <x:v>46321</x:v>
      </x:c>
      <x:c r="J32" s="2"/>
      <x:c r="K32" s="2"/>
      <x:c r="L32" s="2"/>
      <x:c r="M32" s="2"/>
      <x:c r="N32" s="2"/>
      <x:c r="O32" s="2"/>
      <x:c r="P32" s="2"/>
    </x:row>
    <x:row r="33" ht="24" customHeight="1">
      <x:c r="C33" s="28" t="n">
        <x:f>IF(IF(ISNUMBER('Сверка'!$D$4),AND('Сверка'!$D$4&gt;0,'Сверка'!$D$4=INT('Сверка'!$D$4),WEEKDAY('Сверка'!$D$4,2)=1),FALSE),'Сверка'!$D$4+49,"")</x:f>
        <x:v>46328</x:v>
      </x:c>
      <x:c r="D33" s="27" t="n">
        <x:f>IF(AND(AND(IF(ISNUMBER('Сверка'!$D$4),AND('Сверка'!$D$4&gt;0,'Сверка'!$D$4=INT('Сверка'!$D$4),WEEKDAY('Сверка'!$D$4,2)=1),FALSE),ISNUMBER('Сверка'!$D$23),'Реестр'!$P$5=0,ISNUMBER(I33),I33=C33),ISNUMBER(G32)),G32,"")</x:f>
        <x:v>125000</x:v>
      </x:c>
      <x:c r="E33" s="27" t="n">
        <x:f>IF(AND(IF(ISNUMBER('Сверка'!$D$4),AND('Сверка'!$D$4&gt;0,'Сверка'!$D$4=INT('Сверка'!$D$4),WEEKDAY('Сверка'!$D$4,2)=1),FALSE),ISNUMBER('Сверка'!$D$23),'Реестр'!$P$5=0,ISNUMBER(I33),I33=C33),ROUND(SUMIFS('Реестр'!$L$10:$L$109,'Реестр'!$D$10:$D$109,"Поступление",'Реестр'!$I$10:$I$109,"&gt;="&amp;C33,'Реестр'!$I$10:$I$109,"&lt;"&amp;C33+7,'Реестр'!$P$10:$P$109,"В прогнозе"),2),"")</x:f>
        <x:v>100000</x:v>
      </x:c>
      <x:c r="F33" s="27" t="n">
        <x:f>IF(AND(IF(ISNUMBER('Сверка'!$D$4),AND('Сверка'!$D$4&gt;0,'Сверка'!$D$4=INT('Сверка'!$D$4),WEEKDAY('Сверка'!$D$4,2)=1),FALSE),ISNUMBER('Сверка'!$D$23),'Реестр'!$P$5=0,ISNUMBER(I33),I33=C33),ROUND(SUMIFS('Реестр'!$L$10:$L$109,'Реестр'!$D$10:$D$109,"Выплата",'Реестр'!$I$10:$I$109,"&gt;="&amp;C33,'Реестр'!$I$10:$I$109,"&lt;"&amp;C33+7,'Реестр'!$P$10:$P$109,"В прогнозе"),2),"")</x:f>
        <x:v>95000</x:v>
      </x:c>
      <x:c r="G33" s="27" t="n">
        <x:f>IF(AND(ISNUMBER(D33),ISNUMBER(E33),ISNUMBER(F33)),ROUND(D33+E33-F33,2),"")</x:f>
        <x:v>130000</x:v>
      </x:c>
      <x:c r="H33" s="2" t="str">
        <x:f>IF(NOT(ISNUMBER(G33)),"Нет расчёта",IF(G33&lt;0,"Нехватка денег",IF(33=26,IF($G$18&lt;0,"Есть дефицит внутри",""),"")))</x:f>
      </x:c>
      <x:c r="I33" s="8" t="n">
        <x:v>46328</x:v>
      </x:c>
      <x:c r="J33" s="2"/>
      <x:c r="K33" s="2"/>
      <x:c r="L33" s="2"/>
      <x:c r="M33" s="2"/>
      <x:c r="N33" s="2"/>
      <x:c r="O33" s="2"/>
      <x:c r="P33" s="2"/>
    </x:row>
    <x:row r="34" ht="24" customHeight="1">
      <x:c r="C34" s="28" t="n">
        <x:f>IF(IF(ISNUMBER('Сверка'!$D$4),AND('Сверка'!$D$4&gt;0,'Сверка'!$D$4=INT('Сверка'!$D$4),WEEKDAY('Сверка'!$D$4,2)=1),FALSE),'Сверка'!$D$4+56,"")</x:f>
        <x:v>46335</x:v>
      </x:c>
      <x:c r="D34" s="27" t="n">
        <x:f>IF(AND(AND(IF(ISNUMBER('Сверка'!$D$4),AND('Сверка'!$D$4&gt;0,'Сверка'!$D$4=INT('Сверка'!$D$4),WEEKDAY('Сверка'!$D$4,2)=1),FALSE),ISNUMBER('Сверка'!$D$23),'Реестр'!$P$5=0,ISNUMBER(I34),I34=C34),ISNUMBER(G33)),G33,"")</x:f>
        <x:v>130000</x:v>
      </x:c>
      <x:c r="E34" s="27" t="n">
        <x:f>IF(AND(IF(ISNUMBER('Сверка'!$D$4),AND('Сверка'!$D$4&gt;0,'Сверка'!$D$4=INT('Сверка'!$D$4),WEEKDAY('Сверка'!$D$4,2)=1),FALSE),ISNUMBER('Сверка'!$D$23),'Реестр'!$P$5=0,ISNUMBER(I34),I34=C34),ROUND(SUMIFS('Реестр'!$L$10:$L$109,'Реестр'!$D$10:$D$109,"Поступление",'Реестр'!$I$10:$I$109,"&gt;="&amp;C34,'Реестр'!$I$10:$I$109,"&lt;"&amp;C34+7,'Реестр'!$P$10:$P$109,"В прогнозе"),2),"")</x:f>
        <x:v>100000</x:v>
      </x:c>
      <x:c r="F34" s="27" t="n">
        <x:f>IF(AND(IF(ISNUMBER('Сверка'!$D$4),AND('Сверка'!$D$4&gt;0,'Сверка'!$D$4=INT('Сверка'!$D$4),WEEKDAY('Сверка'!$D$4,2)=1),FALSE),ISNUMBER('Сверка'!$D$23),'Реестр'!$P$5=0,ISNUMBER(I34),I34=C34),ROUND(SUMIFS('Реестр'!$L$10:$L$109,'Реестр'!$D$10:$D$109,"Выплата",'Реестр'!$I$10:$I$109,"&gt;="&amp;C34,'Реестр'!$I$10:$I$109,"&lt;"&amp;C34+7,'Реестр'!$P$10:$P$109,"В прогнозе"),2),"")</x:f>
        <x:v>95000</x:v>
      </x:c>
      <x:c r="G34" s="27" t="n">
        <x:f>IF(AND(ISNUMBER(D34),ISNUMBER(E34),ISNUMBER(F34)),ROUND(D34+E34-F34,2),"")</x:f>
        <x:v>135000</x:v>
      </x:c>
      <x:c r="H34" s="2" t="str">
        <x:f>IF(NOT(ISNUMBER(G34)),"Нет расчёта",IF(G34&lt;0,"Нехватка денег",IF(34=26,IF($G$18&lt;0,"Есть дефицит внутри",""),"")))</x:f>
      </x:c>
      <x:c r="I34" s="8" t="n">
        <x:v>46335</x:v>
      </x:c>
      <x:c r="J34" s="2"/>
      <x:c r="K34" s="2"/>
      <x:c r="L34" s="2"/>
      <x:c r="M34" s="2"/>
      <x:c r="N34" s="2"/>
      <x:c r="O34" s="2"/>
      <x:c r="P34" s="2"/>
    </x:row>
    <x:row r="35" ht="24" customHeight="1">
      <x:c r="C35" s="28" t="n">
        <x:f>IF(IF(ISNUMBER('Сверка'!$D$4),AND('Сверка'!$D$4&gt;0,'Сверка'!$D$4=INT('Сверка'!$D$4),WEEKDAY('Сверка'!$D$4,2)=1),FALSE),'Сверка'!$D$4+63,"")</x:f>
        <x:v>46342</x:v>
      </x:c>
      <x:c r="D35" s="27" t="n">
        <x:f>IF(AND(AND(IF(ISNUMBER('Сверка'!$D$4),AND('Сверка'!$D$4&gt;0,'Сверка'!$D$4=INT('Сверка'!$D$4),WEEKDAY('Сверка'!$D$4,2)=1),FALSE),ISNUMBER('Сверка'!$D$23),'Реестр'!$P$5=0,ISNUMBER(I35),I35=C35),ISNUMBER(G34)),G34,"")</x:f>
        <x:v>135000</x:v>
      </x:c>
      <x:c r="E35" s="27" t="n">
        <x:f>IF(AND(IF(ISNUMBER('Сверка'!$D$4),AND('Сверка'!$D$4&gt;0,'Сверка'!$D$4=INT('Сверка'!$D$4),WEEKDAY('Сверка'!$D$4,2)=1),FALSE),ISNUMBER('Сверка'!$D$23),'Реестр'!$P$5=0,ISNUMBER(I35),I35=C35),ROUND(SUMIFS('Реестр'!$L$10:$L$109,'Реестр'!$D$10:$D$109,"Поступление",'Реестр'!$I$10:$I$109,"&gt;="&amp;C35,'Реестр'!$I$10:$I$109,"&lt;"&amp;C35+7,'Реестр'!$P$10:$P$109,"В прогнозе"),2),"")</x:f>
        <x:v>100000</x:v>
      </x:c>
      <x:c r="F35" s="27" t="n">
        <x:f>IF(AND(IF(ISNUMBER('Сверка'!$D$4),AND('Сверка'!$D$4&gt;0,'Сверка'!$D$4=INT('Сверка'!$D$4),WEEKDAY('Сверка'!$D$4,2)=1),FALSE),ISNUMBER('Сверка'!$D$23),'Реестр'!$P$5=0,ISNUMBER(I35),I35=C35),ROUND(SUMIFS('Реестр'!$L$10:$L$109,'Реестр'!$D$10:$D$109,"Выплата",'Реестр'!$I$10:$I$109,"&gt;="&amp;C35,'Реестр'!$I$10:$I$109,"&lt;"&amp;C35+7,'Реестр'!$P$10:$P$109,"В прогнозе"),2),"")</x:f>
        <x:v>95000</x:v>
      </x:c>
      <x:c r="G35" s="27" t="n">
        <x:f>IF(AND(ISNUMBER(D35),ISNUMBER(E35),ISNUMBER(F35)),ROUND(D35+E35-F35,2),"")</x:f>
        <x:v>140000</x:v>
      </x:c>
      <x:c r="H35" s="2" t="str">
        <x:f>IF(NOT(ISNUMBER(G35)),"Нет расчёта",IF(G35&lt;0,"Нехватка денег",IF(35=26,IF($G$18&lt;0,"Есть дефицит внутри",""),"")))</x:f>
      </x:c>
      <x:c r="I35" s="8" t="n">
        <x:v>46342</x:v>
      </x:c>
      <x:c r="J35" s="2"/>
      <x:c r="K35" s="2"/>
      <x:c r="L35" s="2"/>
      <x:c r="M35" s="2"/>
      <x:c r="N35" s="2"/>
      <x:c r="O35" s="2"/>
      <x:c r="P35" s="2"/>
    </x:row>
    <x:row r="36" ht="24" customHeight="1">
      <x:c r="C36" s="28" t="n">
        <x:f>IF(IF(ISNUMBER('Сверка'!$D$4),AND('Сверка'!$D$4&gt;0,'Сверка'!$D$4=INT('Сверка'!$D$4),WEEKDAY('Сверка'!$D$4,2)=1),FALSE),'Сверка'!$D$4+70,"")</x:f>
        <x:v>46349</x:v>
      </x:c>
      <x:c r="D36" s="27" t="n">
        <x:f>IF(AND(AND(IF(ISNUMBER('Сверка'!$D$4),AND('Сверка'!$D$4&gt;0,'Сверка'!$D$4=INT('Сверка'!$D$4),WEEKDAY('Сверка'!$D$4,2)=1),FALSE),ISNUMBER('Сверка'!$D$23),'Реестр'!$P$5=0,ISNUMBER(I36),I36=C36),ISNUMBER(G35)),G35,"")</x:f>
        <x:v>140000</x:v>
      </x:c>
      <x:c r="E36" s="27" t="n">
        <x:f>IF(AND(IF(ISNUMBER('Сверка'!$D$4),AND('Сверка'!$D$4&gt;0,'Сверка'!$D$4=INT('Сверка'!$D$4),WEEKDAY('Сверка'!$D$4,2)=1),FALSE),ISNUMBER('Сверка'!$D$23),'Реестр'!$P$5=0,ISNUMBER(I36),I36=C36),ROUND(SUMIFS('Реестр'!$L$10:$L$109,'Реестр'!$D$10:$D$109,"Поступление",'Реестр'!$I$10:$I$109,"&gt;="&amp;C36,'Реестр'!$I$10:$I$109,"&lt;"&amp;C36+7,'Реестр'!$P$10:$P$109,"В прогнозе"),2),"")</x:f>
        <x:v>100000</x:v>
      </x:c>
      <x:c r="F36" s="27" t="n">
        <x:f>IF(AND(IF(ISNUMBER('Сверка'!$D$4),AND('Сверка'!$D$4&gt;0,'Сверка'!$D$4=INT('Сверка'!$D$4),WEEKDAY('Сверка'!$D$4,2)=1),FALSE),ISNUMBER('Сверка'!$D$23),'Реестр'!$P$5=0,ISNUMBER(I36),I36=C36),ROUND(SUMIFS('Реестр'!$L$10:$L$109,'Реестр'!$D$10:$D$109,"Выплата",'Реестр'!$I$10:$I$109,"&gt;="&amp;C36,'Реестр'!$I$10:$I$109,"&lt;"&amp;C36+7,'Реестр'!$P$10:$P$109,"В прогнозе"),2),"")</x:f>
        <x:v>95000</x:v>
      </x:c>
      <x:c r="G36" s="27" t="n">
        <x:f>IF(AND(ISNUMBER(D36),ISNUMBER(E36),ISNUMBER(F36)),ROUND(D36+E36-F36,2),"")</x:f>
        <x:v>145000</x:v>
      </x:c>
      <x:c r="H36" s="2" t="str">
        <x:f>IF(NOT(ISNUMBER(G36)),"Нет расчёта",IF(G36&lt;0,"Нехватка денег",IF(36=26,IF($G$18&lt;0,"Есть дефицит внутри",""),"")))</x:f>
      </x:c>
      <x:c r="I36" s="8" t="n">
        <x:v>46349</x:v>
      </x:c>
      <x:c r="J36" s="2"/>
      <x:c r="K36" s="2"/>
      <x:c r="L36" s="2"/>
      <x:c r="M36" s="2"/>
      <x:c r="N36" s="2"/>
      <x:c r="O36" s="2"/>
      <x:c r="P36" s="2"/>
    </x:row>
    <x:row r="37" ht="24" customHeight="1">
      <x:c r="C37" s="28" t="n">
        <x:f>IF(IF(ISNUMBER('Сверка'!$D$4),AND('Сверка'!$D$4&gt;0,'Сверка'!$D$4=INT('Сверка'!$D$4),WEEKDAY('Сверка'!$D$4,2)=1),FALSE),'Сверка'!$D$4+77,"")</x:f>
        <x:v>46356</x:v>
      </x:c>
      <x:c r="D37" s="27" t="n">
        <x:f>IF(AND(AND(IF(ISNUMBER('Сверка'!$D$4),AND('Сверка'!$D$4&gt;0,'Сверка'!$D$4=INT('Сверка'!$D$4),WEEKDAY('Сверка'!$D$4,2)=1),FALSE),ISNUMBER('Сверка'!$D$23),'Реестр'!$P$5=0,ISNUMBER(I37),I37=C37),ISNUMBER(G36)),G36,"")</x:f>
        <x:v>145000</x:v>
      </x:c>
      <x:c r="E37" s="27" t="n">
        <x:f>IF(AND(IF(ISNUMBER('Сверка'!$D$4),AND('Сверка'!$D$4&gt;0,'Сверка'!$D$4=INT('Сверка'!$D$4),WEEKDAY('Сверка'!$D$4,2)=1),FALSE),ISNUMBER('Сверка'!$D$23),'Реестр'!$P$5=0,ISNUMBER(I37),I37=C37),ROUND(SUMIFS('Реестр'!$L$10:$L$109,'Реестр'!$D$10:$D$109,"Поступление",'Реестр'!$I$10:$I$109,"&gt;="&amp;C37,'Реестр'!$I$10:$I$109,"&lt;"&amp;C37+7,'Реестр'!$P$10:$P$109,"В прогнозе"),2),"")</x:f>
        <x:v>100000</x:v>
      </x:c>
      <x:c r="F37" s="27" t="n">
        <x:f>IF(AND(IF(ISNUMBER('Сверка'!$D$4),AND('Сверка'!$D$4&gt;0,'Сверка'!$D$4=INT('Сверка'!$D$4),WEEKDAY('Сверка'!$D$4,2)=1),FALSE),ISNUMBER('Сверка'!$D$23),'Реестр'!$P$5=0,ISNUMBER(I37),I37=C37),ROUND(SUMIFS('Реестр'!$L$10:$L$109,'Реестр'!$D$10:$D$109,"Выплата",'Реестр'!$I$10:$I$109,"&gt;="&amp;C37,'Реестр'!$I$10:$I$109,"&lt;"&amp;C37+7,'Реестр'!$P$10:$P$109,"В прогнозе"),2),"")</x:f>
        <x:v>95000</x:v>
      </x:c>
      <x:c r="G37" s="27" t="n">
        <x:f>IF(AND(ISNUMBER(D37),ISNUMBER(E37),ISNUMBER(F37)),ROUND(D37+E37-F37,2),"")</x:f>
        <x:v>150000</x:v>
      </x:c>
      <x:c r="H37" s="2" t="str">
        <x:f>IF(NOT(ISNUMBER(G37)),"Нет расчёта",IF(G37&lt;0,"Нехватка денег",IF(37=26,IF($G$18&lt;0,"Есть дефицит внутри",""),"")))</x:f>
      </x:c>
      <x:c r="I37" s="8" t="n">
        <x:v>46356</x:v>
      </x:c>
      <x:c r="J37" s="2"/>
      <x:c r="K37" s="2"/>
      <x:c r="L37" s="2"/>
      <x:c r="M37" s="2"/>
      <x:c r="N37" s="2"/>
      <x:c r="O37" s="2"/>
      <x:c r="P37" s="2"/>
    </x:row>
    <x:row r="38" ht="24" customHeight="1">
      <x:c r="C38" s="28" t="n">
        <x:f>IF(IF(ISNUMBER('Сверка'!$D$4),AND('Сверка'!$D$4&gt;0,'Сверка'!$D$4=INT('Сверка'!$D$4),WEEKDAY('Сверка'!$D$4,2)=1),FALSE),'Сверка'!$D$4+84,"")</x:f>
        <x:v>46363</x:v>
      </x:c>
      <x:c r="D38" s="27" t="n">
        <x:f>IF(AND(AND(IF(ISNUMBER('Сверка'!$D$4),AND('Сверка'!$D$4&gt;0,'Сверка'!$D$4=INT('Сверка'!$D$4),WEEKDAY('Сверка'!$D$4,2)=1),FALSE),ISNUMBER('Сверка'!$D$23),'Реестр'!$P$5=0,ISNUMBER(I38),I38=C38),ISNUMBER(G37)),G37,"")</x:f>
        <x:v>150000</x:v>
      </x:c>
      <x:c r="E38" s="27" t="n">
        <x:f>IF(AND(IF(ISNUMBER('Сверка'!$D$4),AND('Сверка'!$D$4&gt;0,'Сверка'!$D$4=INT('Сверка'!$D$4),WEEKDAY('Сверка'!$D$4,2)=1),FALSE),ISNUMBER('Сверка'!$D$23),'Реестр'!$P$5=0,ISNUMBER(I38),I38=C38),ROUND(SUMIFS('Реестр'!$L$10:$L$109,'Реестр'!$D$10:$D$109,"Поступление",'Реестр'!$I$10:$I$109,"&gt;="&amp;C38,'Реестр'!$I$10:$I$109,"&lt;"&amp;C38+7,'Реестр'!$P$10:$P$109,"В прогнозе"),2),"")</x:f>
        <x:v>100000</x:v>
      </x:c>
      <x:c r="F38" s="27" t="n">
        <x:f>IF(AND(IF(ISNUMBER('Сверка'!$D$4),AND('Сверка'!$D$4&gt;0,'Сверка'!$D$4=INT('Сверка'!$D$4),WEEKDAY('Сверка'!$D$4,2)=1),FALSE),ISNUMBER('Сверка'!$D$23),'Реестр'!$P$5=0,ISNUMBER(I38),I38=C38),ROUND(SUMIFS('Реестр'!$L$10:$L$109,'Реестр'!$D$10:$D$109,"Выплата",'Реестр'!$I$10:$I$109,"&gt;="&amp;C38,'Реестр'!$I$10:$I$109,"&lt;"&amp;C38+7,'Реестр'!$P$10:$P$109,"В прогнозе"),2),"")</x:f>
        <x:v>95000</x:v>
      </x:c>
      <x:c r="G38" s="27" t="n">
        <x:f>IF(AND(ISNUMBER(D38),ISNUMBER(E38),ISNUMBER(F38)),ROUND(D38+E38-F38,2),"")</x:f>
        <x:v>155000</x:v>
      </x:c>
      <x:c r="H38" s="2" t="str">
        <x:f>IF(NOT(ISNUMBER(G38)),"Нет расчёта",IF(G38&lt;0,"Нехватка денег",IF(38=26,IF($G$18&lt;0,"Есть дефицит внутри",""),"")))</x:f>
      </x:c>
      <x:c r="I38" s="8" t="n">
        <x:v>46363</x:v>
      </x:c>
      <x:c r="J38" s="2"/>
      <x:c r="K38" s="2"/>
      <x:c r="L38" s="2"/>
      <x:c r="M38" s="2"/>
      <x:c r="N38" s="2"/>
      <x:c r="O38" s="2"/>
      <x:c r="P38" s="2"/>
    </x:row>
    <x:row r="39" ht="24" customHeight="1">
      <x:c r="C39" s="2"/>
      <x:c r="D39" s="27"/>
      <x:c r="E39" s="27"/>
      <x:c r="F39" s="27"/>
      <x:c r="G39" s="27"/>
      <x:c r="H39" s="2"/>
      <x:c r="I39" s="2"/>
      <x:c r="J39" s="2"/>
      <x:c r="K39" s="2"/>
      <x:c r="L39" s="2"/>
      <x:c r="M39" s="2"/>
      <x:c r="N39" s="2"/>
      <x:c r="O39" s="2"/>
      <x:c r="P39" s="2"/>
    </x:row>
    <x:row r="40" ht="24" customHeight="1">
      <x:c r="C40" s="21" t="str">
        <x:v>За 13 недель</x:v>
      </x:c>
      <x:c r="D40" s="30"/>
      <x:c r="E40" s="30" t="n">
        <x:f>IF(COUNT(E26:E38)=13,SUM(E26:E38),"")</x:f>
        <x:v>1420000</x:v>
      </x:c>
      <x:c r="F40" s="30" t="n">
        <x:f>IF(COUNT(F26:F38)=13,SUM(F26:F38),"")</x:f>
        <x:v>1365000</x:v>
      </x:c>
      <x:c r="G40" s="30" t="n">
        <x:f>IF(ISNUMBER(G38),G38,"")</x:f>
        <x:v>155000</x:v>
      </x:c>
      <x:c r="H40" s="21"/>
      <x:c r="I40" s="21"/>
      <x:c r="J40" s="2"/>
      <x:c r="K40" s="2"/>
      <x:c r="L40" s="2"/>
      <x:c r="M40" s="2"/>
      <x:c r="N40" s="2"/>
      <x:c r="O40" s="2"/>
      <x:c r="P40" s="2"/>
    </x:row>
    <x:row r="41" ht="24" customHeight="1"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</x:row>
    <x:row r="42" ht="24" customHeight="1">
      <x:c r="C42" s="2" t="str">
        <x:v>За горизонтом: поступления / выплаты</x:v>
      </x:c>
      <x:c r="D42" s="2"/>
      <x:c r="E42" s="27" t="n">
        <x:f>IF(AND(IF(ISNUMBER('Сверка'!$D$4),AND('Сверка'!$D$4&gt;0,'Сверка'!$D$4=INT('Сверка'!$D$4),WEEKDAY('Сверка'!$D$4,2)=1),FALSE),'Реестр'!$P$5=0),SUMIFS('Реестр'!$L$10:$L$109,'Реестр'!$D$10:$D$109,"Поступление",'Реестр'!$I$10:$I$109,"&gt;="&amp;'Сверка'!$D$4+91),"")</x:f>
        <x:v>0</x:v>
      </x:c>
      <x:c r="F42" s="27" t="n">
        <x:f>IF(AND(IF(ISNUMBER('Сверка'!$D$4),AND('Сверка'!$D$4&gt;0,'Сверка'!$D$4=INT('Сверка'!$D$4),WEEKDAY('Сверка'!$D$4,2)=1),FALSE),'Реестр'!$P$5=0),SUMIFS('Реестр'!$L$10:$L$109,'Реестр'!$D$10:$D$109,"Выплата",'Реестр'!$I$10:$I$109,"&gt;="&amp;'Сверка'!$D$4+91),"")</x:f>
        <x:v>0</x:v>
      </x:c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4" customHeight="1"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4" customHeight="1"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4" customHeight="1">
      <x:c r="C45" s="9" t="str">
        <x:v>Как использовать: сохраните рабочую копию. В «Сверке» задайте понедельник и остатки на начало этого дня.</x:v>
      </x:c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4" customHeight="1">
      <x:c r="C46" s="9" t="str">
        <x:v>В «Реестре» очищайте только жёлтые поля C:K и M:O, строки 10–109. Формулы L, P и Q сохраняйте.</x:v>
      </x:c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4" customHeight="1">
      <x:c r="C47" s="9" t="str">
        <x:v>Внесите все известные поступления и выплаты, в том числе ещё не согласованные. Они влияют на прогноз.</x:v>
      </x:c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  <x:row r="48" ht="24" customHeight="1">
      <x:c r="C48" s="9" t="str">
        <x:v>Деньги уже полученные или выплаченные до среза не включайте повторно. Внутренние переводы исключите.</x:v>
      </x:c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</x:row>
    <x:row r="49" ht="24" customHeight="1">
      <x:c r="C49" s="9" t="str">
        <x:v>Проверьте полноту каждой недели и заполните I. Нулевой поток означает отсутствие внесённых операций.</x:v>
      </x:c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</x:row>
    <x:row r="50" ht="24" customHeight="1">
      <x:c r="C50" s="9" t="str">
        <x:v>Недельный итог может скрывать дефицит внутри недели. Первые 7 дней детализированы; очередность внутри дня — отдельно.</x:v>
      </x:c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</x:row>
    <x:row r="51" ht="24" customHeight="1">
      <x:c r="C51" s="9" t="str">
        <x:v>Методологическая основа: материалы Ирины Нарчемашвили. Расчёт и все суммы здесь — учебная редакционная модель.</x:v>
      </x:c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</x:row>
    <x:row r="52" ht="24" customHeight="1">
      <x:c r="C52" s="9" t="str">
        <x:v>Объяснение прогноза: https://profit-biz.com/blog/kassovyj-razryv-prognoz</x:v>
      </x:c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</x:row>
    <x:row r="53" ht="24" customHeight="1">
      <x:c r="C53" s="9" t="str">
        <x:v>Фонды и доступные деньги: https://profit-biz.com/blog/svobodnye-dengi-biznesa</x:v>
      </x:c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</x:row>
    <x:row r="54" ht="24" customHeight="1"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</x:row>
    <x:row r="55" ht="24" customHeight="1"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</x:row>
  </x:sheetData>
  <x:conditionalFormatting sqref="G10:G18">
    <x:cfRule type="cellIs" dxfId="3" priority="1" operator="lessThan">
      <x:formula>0</x:formula>
    </x:cfRule>
  </x:conditionalFormatting>
  <x:conditionalFormatting sqref="G26:G40">
    <x:cfRule type="cellIs" dxfId="4" priority="2" operator="lessThan">
      <x:formula>0</x:formula>
    </x:cfRule>
  </x:conditionalFormatting>
  <x:pageMargins left="0.7" right="0.7" top="0.75" bottom="0.75" header="0.3" footer="0.3"/>
  <x:drawing xmlns:r="http://schemas.openxmlformats.org/officeDocument/2006/relationships" r:id="R5508f72af60a427f"/>
</x:worksheet>
</file>

<file path=xl/worksheets/sheet2.xml><?xml version="1.0" encoding="utf-8"?>
<x:worksheet xmlns:x="http://schemas.openxmlformats.org/spreadsheetml/2006/main">
  <x:sheetPr>
    <x:tabColor rgb="FF617089"/>
  </x:sheetPr>
  <x:sheetViews>
    <x:sheetView showGridLines="0" workbookViewId="0">
      <x:pane xSplit="5" ySplit="9" topLeftCell="F10" activePane="bottomRight" state="frozen"/>
    </x:sheetView>
  </x:sheetViews>
  <x:sheetFormatPr defaultRowHeight="15"/>
  <x:cols>
    <x:col min="1" max="1" width="2.299999952316284" hidden="0" customWidth="1"/>
    <x:col min="2" max="2" width="2.299999952316284" hidden="0" customWidth="1"/>
    <x:col min="3" max="3" width="13" hidden="0" customWidth="1"/>
    <x:col min="4" max="4" width="17" hidden="0" customWidth="1"/>
    <x:col min="5" max="5" width="30" hidden="0" customWidth="1"/>
    <x:col min="6" max="6" width="19" hidden="0" customWidth="1"/>
    <x:col min="7" max="7" width="21" hidden="0" customWidth="1"/>
    <x:col min="8" max="8" width="16" hidden="0" customWidth="1"/>
    <x:col min="9" max="9" width="16" hidden="0" customWidth="1"/>
    <x:col min="10" max="10" width="19" hidden="0" customWidth="1"/>
    <x:col min="11" max="11" width="20" hidden="0" customWidth="1"/>
    <x:col min="12" max="12" width="19" hidden="0" customWidth="1"/>
    <x:col min="13" max="13" width="27" hidden="0" customWidth="1"/>
    <x:col min="14" max="14" width="23" hidden="0" customWidth="1"/>
    <x:col min="15" max="15" width="42" hidden="0" customWidth="1"/>
    <x:col min="16" max="16" width="31" hidden="0" customWidth="1"/>
    <x:col min="17" max="17" width="15" hidden="0" customWidth="1"/>
  </x:cols>
  <x:sheetData>
    <x:row r="2" ht="30" customHeight="1">
      <x:c r="C2" s="3" t="str">
        <x:v>Профит в кармане · Реестр операций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4" customHeight="1"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2"/>
    </x:row>
    <x:row r="4" ht="24" customHeight="1">
      <x:c r="C4" s="9" t="str">
        <x:v>Суммы и исполнение — на начало первой недели. В прогноз входят все незакрытые строки, включая ещё не согласованные выплаты.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4" customHeight="1"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19" t="str">
        <x:v>Ошибок в реестре</x:v>
      </x:c>
      <x:c r="P5" s="19" t="n">
        <x:f>SUM(Q10:Q109)</x:f>
        <x:v>0</x:v>
      </x:c>
      <x:c r="Q5" s="2"/>
    </x:row>
    <x:row r="6" ht="24" customHeight="1">
      <x:c r="C6" s="9" t="str">
        <x:v>Строки 10–109: до 100 операций. Один документ с несколькими сроками разбейте на транши без повторного включения суммы.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4" customHeight="1">
      <x:c r="C7" s="9" t="str">
        <x:v>Пустой срок документа допустим для будущей операции без обязательства. Ожидаемая дата обязательна для каждого ненулевого остатка.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4" customHeight="1"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58" customHeight="1">
      <x:c r="C9" s="14" t="str">
        <x:v>ID строки</x:v>
      </x:c>
      <x:c r="D9" s="15" t="str">
        <x:v>Тип</x:v>
      </x:c>
      <x:c r="E9" s="15" t="str">
        <x:v>Контрагент / назначение</x:v>
      </x:c>
      <x:c r="F9" s="15" t="str">
        <x:v>Документ / основание</x:v>
      </x:c>
      <x:c r="G9" s="15" t="str">
        <x:v>Фонд / направление</x:v>
      </x:c>
      <x:c r="H9" s="15" t="str">
        <x:v>Срок документа</x:v>
      </x:c>
      <x:c r="I9" s="15" t="str">
        <x:v>Ожидаемая дата</x:v>
      </x:c>
      <x:c r="J9" s="15" t="str">
        <x:v>Сумма строки, ₽</x:v>
      </x:c>
      <x:c r="K9" s="15" t="str">
        <x:v>Исполнено до среза, ₽</x:v>
      </x:c>
      <x:c r="L9" s="15" t="str">
        <x:v>Остаток, ₽</x:v>
      </x:c>
      <x:c r="M9" s="15" t="str">
        <x:v>Согласование</x:v>
      </x:c>
      <x:c r="N9" s="15" t="str">
        <x:v>Ответственный</x:v>
      </x:c>
      <x:c r="O9" s="15" t="str">
        <x:v>Следующее действие</x:v>
      </x:c>
      <x:c r="P9" s="16" t="str">
        <x:v>Проверка</x:v>
      </x:c>
      <x:c r="Q9" s="13" t="str">
        <x:v>Есть ошибка</x:v>
      </x:c>
    </x:row>
    <x:row r="10" ht="24" customHeight="1">
      <x:c r="C10" s="7" t="str">
        <x:v>Р-001</x:v>
      </x:c>
      <x:c r="D10" s="7" t="str">
        <x:v>Выплата</x:v>
      </x:c>
      <x:c r="E10" s="7" t="str">
        <x:v>Обязательство по выплате</x:v>
      </x:c>
      <x:c r="F10" s="7" t="str">
        <x:v>Учебный счёт 1</x:v>
      </x:c>
      <x:c r="G10" s="7" t="str">
        <x:v>Текущие обязательства</x:v>
      </x:c>
      <x:c r="H10" s="8" t="n">
        <x:v>46280</x:v>
      </x:c>
      <x:c r="I10" s="8" t="n">
        <x:v>46280</x:v>
      </x:c>
      <x:c r="J10" s="26" t="n">
        <x:v>150000</x:v>
      </x:c>
      <x:c r="K10" s="26" t="n">
        <x:v>0</x:v>
      </x:c>
      <x:c r="L10" s="27" t="n">
        <x:f>IF(COUNTA(C10:K10)+COUNTA(M10:O10)=0,"",IF(AND(ISNUMBER(J10),ISNUMBER(K10),J10&gt;=0,K10&gt;=0,K10&lt;=J10),ROUND(J10-K10,2),""))</x:f>
        <x:v>150000</x:v>
      </x:c>
      <x:c r="M10" s="7" t="str">
        <x:v>Проверено к оплате</x:v>
      </x:c>
      <x:c r="N10" s="7" t="str">
        <x:v>Ответственный 1</x:v>
      </x:c>
      <x:c r="O10" s="7" t="str">
        <x:v>Проверить исполнение</x:v>
      </x:c>
      <x:c r="P10" s="2" t="str">
        <x:f>IF(COUNTA(C10:K10)+COUNTA(M10:O10)=0,"",IF(OR(C10="",E10="",F10="",G10="",N10=""),"Ошибка: заполните поля",IF(COUNTIFS($C$10:$C$109,C10)&gt;1,"Ошибка: повтор ID",IF(AND(D10&lt;&gt;"Поступление",D10&lt;&gt;"Выплата"),"Ошибка: тип",IF(OR(NOT(ISNUMBER(J10)),NOT(ISNUMBER(K10))),"Ошибка: нет суммы",IF(OR(J10&lt;0,K10&lt;0,K10&gt;J10,ABS(J10-ROUND(J10,2))&gt;0.0000001,ABS(K10-ROUND(K10,2))&gt;0.0000001),"Ошибка: суммы",IF(AND(H10&lt;&gt;"",NOT(ISNUMBER(H10))),"Ошибка: срок",IF(OR(AND(D10="Поступление",M10&lt;&gt;"Входящий платёж"),AND(D10="Выплата",M10&lt;&gt;"Не рассмотрено",M10&lt;&gt;"Коллегия одобрила",M10&lt;&gt;"Проверено к оплате")),"Ошибка: согласование",IF(L10=0,"Закрыто",IF(NOT(ISNUMBER(I10)),"Ошибка: нет даты",IF(OR(I10&lt;'Сверка'!$D$4,I10&lt;&gt;INT(I10)),"Ошибка: обновите дату","В прогнозе")))))))))))</x:f>
        <x:v>В прогнозе</x:v>
      </x:c>
      <x:c r="Q10" s="25" t="n">
        <x:f>IF(ISERROR(P10),1,IF(OR(P10="В прогнозе",P10="Закрыто",P10=""),0,1))</x:f>
        <x:v>0</x:v>
      </x:c>
    </x:row>
    <x:row r="11" ht="24" customHeight="1">
      <x:c r="C11" s="7" t="str">
        <x:v>П-001</x:v>
      </x:c>
      <x:c r="D11" s="7" t="str">
        <x:v>Поступление</x:v>
      </x:c>
      <x:c r="E11" s="7" t="str">
        <x:v>Клиент А</x:v>
      </x:c>
      <x:c r="F11" s="7" t="str">
        <x:v>Учебный счёт 2</x:v>
      </x:c>
      <x:c r="G11" s="7" t="str">
        <x:v>Продажи</x:v>
      </x:c>
      <x:c r="H11" s="8" t="n">
        <x:v>46283</x:v>
      </x:c>
      <x:c r="I11" s="8" t="n">
        <x:v>46283</x:v>
      </x:c>
      <x:c r="J11" s="26" t="n">
        <x:v>200000</x:v>
      </x:c>
      <x:c r="K11" s="26" t="n">
        <x:v>0</x:v>
      </x:c>
      <x:c r="L11" s="27" t="n">
        <x:f>IF(COUNTA(C11:K11)+COUNTA(M11:O11)=0,"",IF(AND(ISNUMBER(J11),ISNUMBER(K11),J11&gt;=0,K11&gt;=0,K11&lt;=J11),ROUND(J11-K11,2),""))</x:f>
        <x:v>200000</x:v>
      </x:c>
      <x:c r="M11" s="7" t="str">
        <x:v>Входящий платёж</x:v>
      </x:c>
      <x:c r="N11" s="7" t="str">
        <x:v>Ответственный 2</x:v>
      </x:c>
      <x:c r="O11" s="7" t="str">
        <x:v>Подтвердить поступление</x:v>
      </x:c>
      <x:c r="P11" s="2" t="str">
        <x:f>IF(COUNTA(C11:K11)+COUNTA(M11:O11)=0,"",IF(OR(C11="",E11="",F11="",G11="",N11=""),"Ошибка: заполните поля",IF(COUNTIFS($C$10:$C$109,C11)&gt;1,"Ошибка: повтор ID",IF(AND(D11&lt;&gt;"Поступление",D11&lt;&gt;"Выплата"),"Ошибка: тип",IF(OR(NOT(ISNUMBER(J11)),NOT(ISNUMBER(K11))),"Ошибка: нет суммы",IF(OR(J11&lt;0,K11&lt;0,K11&gt;J11,ABS(J11-ROUND(J11,2))&gt;0.0000001,ABS(K11-ROUND(K11,2))&gt;0.0000001),"Ошибка: суммы",IF(AND(H11&lt;&gt;"",NOT(ISNUMBER(H11))),"Ошибка: срок",IF(OR(AND(D11="Поступление",M11&lt;&gt;"Входящий платёж"),AND(D11="Выплата",M11&lt;&gt;"Не рассмотрено",M11&lt;&gt;"Коллегия одобрила",M11&lt;&gt;"Проверено к оплате")),"Ошибка: согласование",IF(L11=0,"Закрыто",IF(NOT(ISNUMBER(I11)),"Ошибка: нет даты",IF(OR(I11&lt;'Сверка'!$D$4,I11&lt;&gt;INT(I11)),"Ошибка: обновите дату","В прогнозе")))))))))))</x:f>
        <x:v>В прогнозе</x:v>
      </x:c>
      <x:c r="Q11" s="25" t="n">
        <x:f>IF(ISERROR(P11),1,IF(OR(P11="В прогнозе",P11="Закрыто",P11=""),0,1))</x:f>
        <x:v>0</x:v>
      </x:c>
    </x:row>
    <x:row r="12" ht="24" customHeight="1">
      <x:c r="C12" s="7" t="str">
        <x:v>Р-002</x:v>
      </x:c>
      <x:c r="D12" s="7" t="str">
        <x:v>Выплата</x:v>
      </x:c>
      <x:c r="E12" s="7" t="str">
        <x:v>Сырьё, остаток оплаты</x:v>
      </x:c>
      <x:c r="F12" s="7" t="str">
        <x:v>Учебный счёт 3</x:v>
      </x:c>
      <x:c r="G12" s="7" t="str">
        <x:v>Поставщики</x:v>
      </x:c>
      <x:c r="H12" s="8" t="n">
        <x:v>46287</x:v>
      </x:c>
      <x:c r="I12" s="8" t="n">
        <x:v>46287</x:v>
      </x:c>
      <x:c r="J12" s="26" t="n">
        <x:v>150000</x:v>
      </x:c>
      <x:c r="K12" s="26" t="n">
        <x:v>60000</x:v>
      </x:c>
      <x:c r="L12" s="27" t="n">
        <x:f>IF(COUNTA(C12:K12)+COUNTA(M12:O12)=0,"",IF(AND(ISNUMBER(J12),ISNUMBER(K12),J12&gt;=0,K12&gt;=0,K12&lt;=J12),ROUND(J12-K12,2),""))</x:f>
        <x:v>90000</x:v>
      </x:c>
      <x:c r="M12" s="7" t="str">
        <x:v>Проверено к оплате</x:v>
      </x:c>
      <x:c r="N12" s="7" t="str">
        <x:v>Ответственный 3</x:v>
      </x:c>
      <x:c r="O12" s="7" t="str">
        <x:v>Оплатить оставшуюся часть</x:v>
      </x:c>
      <x:c r="P12" s="2" t="str">
        <x:f>IF(COUNTA(C12:K12)+COUNTA(M12:O12)=0,"",IF(OR(C12="",E12="",F12="",G12="",N12=""),"Ошибка: заполните поля",IF(COUNTIFS($C$10:$C$109,C12)&gt;1,"Ошибка: повтор ID",IF(AND(D12&lt;&gt;"Поступление",D12&lt;&gt;"Выплата"),"Ошибка: тип",IF(OR(NOT(ISNUMBER(J12)),NOT(ISNUMBER(K12))),"Ошибка: нет суммы",IF(OR(J12&lt;0,K12&lt;0,K12&gt;J12,ABS(J12-ROUND(J12,2))&gt;0.0000001,ABS(K12-ROUND(K12,2))&gt;0.0000001),"Ошибка: суммы",IF(AND(H12&lt;&gt;"",NOT(ISNUMBER(H12))),"Ошибка: срок",IF(OR(AND(D12="Поступление",M12&lt;&gt;"Входящий платёж"),AND(D12="Выплата",M12&lt;&gt;"Не рассмотрено",M12&lt;&gt;"Коллегия одобрила",M12&lt;&gt;"Проверено к оплате")),"Ошибка: согласование",IF(L12=0,"Закрыто",IF(NOT(ISNUMBER(I12)),"Ошибка: нет даты",IF(OR(I12&lt;'Сверка'!$D$4,I12&lt;&gt;INT(I12)),"Ошибка: обновите дату","В прогнозе")))))))))))</x:f>
        <x:v>В прогнозе</x:v>
      </x:c>
      <x:c r="Q12" s="25" t="n">
        <x:f>IF(ISERROR(P12),1,IF(OR(P12="В прогнозе",P12="Закрыто",P12=""),0,1))</x:f>
        <x:v>0</x:v>
      </x:c>
    </x:row>
    <x:row r="13" ht="24" customHeight="1">
      <x:c r="C13" s="7" t="str">
        <x:v>П-002</x:v>
      </x:c>
      <x:c r="D13" s="7" t="str">
        <x:v>Поступление</x:v>
      </x:c>
      <x:c r="E13" s="7" t="str">
        <x:v>Клиент Б</x:v>
      </x:c>
      <x:c r="F13" s="7" t="str">
        <x:v>Учебный счёт 4</x:v>
      </x:c>
      <x:c r="G13" s="7" t="str">
        <x:v>Продажи</x:v>
      </x:c>
      <x:c r="H13" s="8" t="n">
        <x:v>46288</x:v>
      </x:c>
      <x:c r="I13" s="8" t="n">
        <x:v>46288</x:v>
      </x:c>
      <x:c r="J13" s="26" t="n">
        <x:v>120000</x:v>
      </x:c>
      <x:c r="K13" s="26" t="n">
        <x:v>0</x:v>
      </x:c>
      <x:c r="L13" s="27" t="n">
        <x:f>IF(COUNTA(C13:K13)+COUNTA(M13:O13)=0,"",IF(AND(ISNUMBER(J13),ISNUMBER(K13),J13&gt;=0,K13&gt;=0,K13&lt;=J13),ROUND(J13-K13,2),""))</x:f>
        <x:v>120000</x:v>
      </x:c>
      <x:c r="M13" s="7" t="str">
        <x:v>Входящий платёж</x:v>
      </x:c>
      <x:c r="N13" s="7" t="str">
        <x:v>Ответственный 2</x:v>
      </x:c>
      <x:c r="O13" s="7" t="str">
        <x:v>Уточнить дату до встречи</x:v>
      </x:c>
      <x:c r="P13" s="2" t="str">
        <x:f>IF(COUNTA(C13:K13)+COUNTA(M13:O13)=0,"",IF(OR(C13="",E13="",F13="",G13="",N13=""),"Ошибка: заполните поля",IF(COUNTIFS($C$10:$C$109,C13)&gt;1,"Ошибка: повтор ID",IF(AND(D13&lt;&gt;"Поступление",D13&lt;&gt;"Выплата"),"Ошибка: тип",IF(OR(NOT(ISNUMBER(J13)),NOT(ISNUMBER(K13))),"Ошибка: нет суммы",IF(OR(J13&lt;0,K13&lt;0,K13&gt;J13,ABS(J13-ROUND(J13,2))&gt;0.0000001,ABS(K13-ROUND(K13,2))&gt;0.0000001),"Ошибка: суммы",IF(AND(H13&lt;&gt;"",NOT(ISNUMBER(H13))),"Ошибка: срок",IF(OR(AND(D13="Поступление",M13&lt;&gt;"Входящий платёж"),AND(D13="Выплата",M13&lt;&gt;"Не рассмотрено",M13&lt;&gt;"Коллегия одобрила",M13&lt;&gt;"Проверено к оплате")),"Ошибка: согласование",IF(L13=0,"Закрыто",IF(NOT(ISNUMBER(I13)),"Ошибка: нет даты",IF(OR(I13&lt;'Сверка'!$D$4,I13&lt;&gt;INT(I13)),"Ошибка: обновите дату","В прогнозе")))))))))))</x:f>
        <x:v>В прогнозе</x:v>
      </x:c>
      <x:c r="Q13" s="25" t="n">
        <x:f>IF(ISERROR(P13),1,IF(OR(P13="В прогнозе",P13="Закрыто",P13=""),0,1))</x:f>
        <x:v>0</x:v>
      </x:c>
    </x:row>
    <x:row r="14" ht="24" customHeight="1">
      <x:c r="C14" s="7" t="str">
        <x:v>Р-003</x:v>
      </x:c>
      <x:c r="D14" s="7" t="str">
        <x:v>Выплата</x:v>
      </x:c>
      <x:c r="E14" s="7" t="str">
        <x:v>Тест рекламы</x:v>
      </x:c>
      <x:c r="F14" s="7" t="str">
        <x:v>Учебная заявка Р-014</x:v>
      </x:c>
      <x:c r="G14" s="7" t="str">
        <x:v>Маркетинг</x:v>
      </x:c>
      <x:c r="H14" s="8"/>
      <x:c r="I14" s="8" t="n">
        <x:v>46289</x:v>
      </x:c>
      <x:c r="J14" s="26" t="n">
        <x:v>80000</x:v>
      </x:c>
      <x:c r="K14" s="26" t="n">
        <x:v>0</x:v>
      </x:c>
      <x:c r="L14" s="27" t="n">
        <x:f>IF(COUNTA(C14:K14)+COUNTA(M14:O14)=0,"",IF(AND(ISNUMBER(J14),ISNUMBER(K14),J14&gt;=0,K14&gt;=0,K14&lt;=J14),ROUND(J14-K14,2),""))</x:f>
        <x:v>80000</x:v>
      </x:c>
      <x:c r="M14" s="7" t="str">
        <x:v>Не рассмотрено</x:v>
      </x:c>
      <x:c r="N14" s="7" t="str">
        <x:v>Ответственный 4</x:v>
      </x:c>
      <x:c r="O14" s="7" t="str">
        <x:v>Подготовить обоснование</x:v>
      </x:c>
      <x:c r="P14" s="2" t="str">
        <x:f>IF(COUNTA(C14:K14)+COUNTA(M14:O14)=0,"",IF(OR(C14="",E14="",F14="",G14="",N14=""),"Ошибка: заполните поля",IF(COUNTIFS($C$10:$C$109,C14)&gt;1,"Ошибка: повтор ID",IF(AND(D14&lt;&gt;"Поступление",D14&lt;&gt;"Выплата"),"Ошибка: тип",IF(OR(NOT(ISNUMBER(J14)),NOT(ISNUMBER(K14))),"Ошибка: нет суммы",IF(OR(J14&lt;0,K14&lt;0,K14&gt;J14,ABS(J14-ROUND(J14,2))&gt;0.0000001,ABS(K14-ROUND(K14,2))&gt;0.0000001),"Ошибка: суммы",IF(AND(H14&lt;&gt;"",NOT(ISNUMBER(H14))),"Ошибка: срок",IF(OR(AND(D14="Поступление",M14&lt;&gt;"Входящий платёж"),AND(D14="Выплата",M14&lt;&gt;"Не рассмотрено",M14&lt;&gt;"Коллегия одобрила",M14&lt;&gt;"Проверено к оплате")),"Ошибка: согласование",IF(L14=0,"Закрыто",IF(NOT(ISNUMBER(I14)),"Ошибка: нет даты",IF(OR(I14&lt;'Сверка'!$D$4,I14&lt;&gt;INT(I14)),"Ошибка: обновите дату","В прогнозе")))))))))))</x:f>
        <x:v>В прогнозе</x:v>
      </x:c>
      <x:c r="Q14" s="25" t="n">
        <x:f>IF(ISERROR(P14),1,IF(OR(P14="В прогнозе",P14="Закрыто",P14=""),0,1))</x:f>
        <x:v>0</x:v>
      </x:c>
    </x:row>
    <x:row r="15" ht="24" customHeight="1">
      <x:c r="C15" s="7" t="str">
        <x:v>Р-004</x:v>
      </x:c>
      <x:c r="D15" s="7" t="str">
        <x:v>Выплата</x:v>
      </x:c>
      <x:c r="E15" s="7" t="str">
        <x:v>Закрытая оплата сервиса</x:v>
      </x:c>
      <x:c r="F15" s="7" t="str">
        <x:v>Учебный счёт 5</x:v>
      </x:c>
      <x:c r="G15" s="7" t="str">
        <x:v>Сервисы</x:v>
      </x:c>
      <x:c r="H15" s="8" t="n">
        <x:v>46274</x:v>
      </x:c>
      <x:c r="I15" s="8" t="n">
        <x:v>46274</x:v>
      </x:c>
      <x:c r="J15" s="26" t="n">
        <x:v>20000</x:v>
      </x:c>
      <x:c r="K15" s="26" t="n">
        <x:v>20000</x:v>
      </x:c>
      <x:c r="L15" s="27" t="n">
        <x:f>IF(COUNTA(C15:K15)+COUNTA(M15:O15)=0,"",IF(AND(ISNUMBER(J15),ISNUMBER(K15),J15&gt;=0,K15&gt;=0,K15&lt;=J15),ROUND(J15-K15,2),""))</x:f>
        <x:v>0</x:v>
      </x:c>
      <x:c r="M15" s="7" t="str">
        <x:v>Проверено к оплате</x:v>
      </x:c>
      <x:c r="N15" s="7" t="str">
        <x:v>Ответственный 1</x:v>
      </x:c>
      <x:c r="O15" s="7" t="str">
        <x:v>Оплата отражена до среза</x:v>
      </x:c>
      <x:c r="P15" s="2" t="str">
        <x:f>IF(COUNTA(C15:K15)+COUNTA(M15:O15)=0,"",IF(OR(C15="",E15="",F15="",G15="",N15=""),"Ошибка: заполните поля",IF(COUNTIFS($C$10:$C$109,C15)&gt;1,"Ошибка: повтор ID",IF(AND(D15&lt;&gt;"Поступление",D15&lt;&gt;"Выплата"),"Ошибка: тип",IF(OR(NOT(ISNUMBER(J15)),NOT(ISNUMBER(K15))),"Ошибка: нет суммы",IF(OR(J15&lt;0,K15&lt;0,K15&gt;J15,ABS(J15-ROUND(J15,2))&gt;0.0000001,ABS(K15-ROUND(K15,2))&gt;0.0000001),"Ошибка: суммы",IF(AND(H15&lt;&gt;"",NOT(ISNUMBER(H15))),"Ошибка: срок",IF(OR(AND(D15="Поступление",M15&lt;&gt;"Входящий платёж"),AND(D15="Выплата",M15&lt;&gt;"Не рассмотрено",M15&lt;&gt;"Коллегия одобрила",M15&lt;&gt;"Проверено к оплате")),"Ошибка: согласование",IF(L15=0,"Закрыто",IF(NOT(ISNUMBER(I15)),"Ошибка: нет даты",IF(OR(I15&lt;'Сверка'!$D$4,I15&lt;&gt;INT(I15)),"Ошибка: обновите дату","В прогнозе")))))))))))</x:f>
        <x:v>Закрыто</x:v>
      </x:c>
      <x:c r="Q15" s="25" t="n">
        <x:f>IF(ISERROR(P15),1,IF(OR(P15="В прогнозе",P15="Закрыто",P15=""),0,1))</x:f>
        <x:v>0</x:v>
      </x:c>
    </x:row>
    <x:row r="16" ht="24" customHeight="1">
      <x:c r="C16" s="7" t="str">
        <x:v>П-003</x:v>
      </x:c>
      <x:c r="D16" s="7" t="str">
        <x:v>Поступление</x:v>
      </x:c>
      <x:c r="E16" s="7" t="str">
        <x:v>Учебная оплата недели 3</x:v>
      </x:c>
      <x:c r="F16" s="7" t="str">
        <x:v>Учебный доход 3</x:v>
      </x:c>
      <x:c r="G16" s="7" t="str">
        <x:v>Продажи</x:v>
      </x:c>
      <x:c r="H16" s="8" t="n">
        <x:v>46295</x:v>
      </x:c>
      <x:c r="I16" s="8" t="n">
        <x:v>46295</x:v>
      </x:c>
      <x:c r="J16" s="26" t="n">
        <x:v>100000</x:v>
      </x:c>
      <x:c r="K16" s="26" t="n">
        <x:v>0</x:v>
      </x:c>
      <x:c r="L16" s="27" t="n">
        <x:f>IF(COUNTA(C16:K16)+COUNTA(M16:O16)=0,"",IF(AND(ISNUMBER(J16),ISNUMBER(K16),J16&gt;=0,K16&gt;=0,K16&lt;=J16),ROUND(J16-K16,2),""))</x:f>
        <x:v>100000</x:v>
      </x:c>
      <x:c r="M16" s="7" t="str">
        <x:v>Входящий платёж</x:v>
      </x:c>
      <x:c r="N16" s="7" t="str">
        <x:v>Ответственный 2</x:v>
      </x:c>
      <x:c r="O16" s="7" t="str">
        <x:v>Заменить данными компании</x:v>
      </x:c>
      <x:c r="P16" s="2" t="str">
        <x:f>IF(COUNTA(C16:K16)+COUNTA(M16:O16)=0,"",IF(OR(C16="",E16="",F16="",G16="",N16=""),"Ошибка: заполните поля",IF(COUNTIFS($C$10:$C$109,C16)&gt;1,"Ошибка: повтор ID",IF(AND(D16&lt;&gt;"Поступление",D16&lt;&gt;"Выплата"),"Ошибка: тип",IF(OR(NOT(ISNUMBER(J16)),NOT(ISNUMBER(K16))),"Ошибка: нет суммы",IF(OR(J16&lt;0,K16&lt;0,K16&gt;J16,ABS(J16-ROUND(J16,2))&gt;0.0000001,ABS(K16-ROUND(K16,2))&gt;0.0000001),"Ошибка: суммы",IF(AND(H16&lt;&gt;"",NOT(ISNUMBER(H16))),"Ошибка: срок",IF(OR(AND(D16="Поступление",M16&lt;&gt;"Входящий платёж"),AND(D16="Выплата",M16&lt;&gt;"Не рассмотрено",M16&lt;&gt;"Коллегия одобрила",M16&lt;&gt;"Проверено к оплате")),"Ошибка: согласование",IF(L16=0,"Закрыто",IF(NOT(ISNUMBER(I16)),"Ошибка: нет даты",IF(OR(I16&lt;'Сверка'!$D$4,I16&lt;&gt;INT(I16)),"Ошибка: обновите дату","В прогнозе")))))))))))</x:f>
        <x:v>В прогнозе</x:v>
      </x:c>
      <x:c r="Q16" s="25" t="n">
        <x:f>IF(ISERROR(P16),1,IF(OR(P16="В прогнозе",P16="Закрыто",P16=""),0,1))</x:f>
        <x:v>0</x:v>
      </x:c>
    </x:row>
    <x:row r="17" ht="24" customHeight="1">
      <x:c r="C17" s="7" t="str">
        <x:v>Р-005</x:v>
      </x:c>
      <x:c r="D17" s="7" t="str">
        <x:v>Выплата</x:v>
      </x:c>
      <x:c r="E17" s="7" t="str">
        <x:v>Учебные выплаты недели 3</x:v>
      </x:c>
      <x:c r="F17" s="7" t="str">
        <x:v>Учебный расход 3</x:v>
      </x:c>
      <x:c r="G17" s="7" t="str">
        <x:v>Текущие обязательства</x:v>
      </x:c>
      <x:c r="H17" s="8" t="n">
        <x:v>46297</x:v>
      </x:c>
      <x:c r="I17" s="8" t="n">
        <x:v>46297</x:v>
      </x:c>
      <x:c r="J17" s="26" t="n">
        <x:v>95000</x:v>
      </x:c>
      <x:c r="K17" s="26" t="n">
        <x:v>0</x:v>
      </x:c>
      <x:c r="L17" s="27" t="n">
        <x:f>IF(COUNTA(C17:K17)+COUNTA(M17:O17)=0,"",IF(AND(ISNUMBER(J17),ISNUMBER(K17),J17&gt;=0,K17&gt;=0,K17&lt;=J17),ROUND(J17-K17,2),""))</x:f>
        <x:v>95000</x:v>
      </x:c>
      <x:c r="M17" s="7" t="str">
        <x:v>Проверено к оплате</x:v>
      </x:c>
      <x:c r="N17" s="7" t="str">
        <x:v>Ответственный 1</x:v>
      </x:c>
      <x:c r="O17" s="7" t="str">
        <x:v>Заменить данными компании</x:v>
      </x:c>
      <x:c r="P17" s="2" t="str">
        <x:f>IF(COUNTA(C17:K17)+COUNTA(M17:O17)=0,"",IF(OR(C17="",E17="",F17="",G17="",N17=""),"Ошибка: заполните поля",IF(COUNTIFS($C$10:$C$109,C17)&gt;1,"Ошибка: повтор ID",IF(AND(D17&lt;&gt;"Поступление",D17&lt;&gt;"Выплата"),"Ошибка: тип",IF(OR(NOT(ISNUMBER(J17)),NOT(ISNUMBER(K17))),"Ошибка: нет суммы",IF(OR(J17&lt;0,K17&lt;0,K17&gt;J17,ABS(J17-ROUND(J17,2))&gt;0.0000001,ABS(K17-ROUND(K17,2))&gt;0.0000001),"Ошибка: суммы",IF(AND(H17&lt;&gt;"",NOT(ISNUMBER(H17))),"Ошибка: срок",IF(OR(AND(D17="Поступление",M17&lt;&gt;"Входящий платёж"),AND(D17="Выплата",M17&lt;&gt;"Не рассмотрено",M17&lt;&gt;"Коллегия одобрила",M17&lt;&gt;"Проверено к оплате")),"Ошибка: согласование",IF(L17=0,"Закрыто",IF(NOT(ISNUMBER(I17)),"Ошибка: нет даты",IF(OR(I17&lt;'Сверка'!$D$4,I17&lt;&gt;INT(I17)),"Ошибка: обновите дату","В прогнозе")))))))))))</x:f>
        <x:v>В прогнозе</x:v>
      </x:c>
      <x:c r="Q17" s="25" t="n">
        <x:f>IF(ISERROR(P17),1,IF(OR(P17="В прогнозе",P17="Закрыто",P17=""),0,1))</x:f>
        <x:v>0</x:v>
      </x:c>
    </x:row>
    <x:row r="18" ht="24" customHeight="1">
      <x:c r="C18" s="7" t="str">
        <x:v>П-004</x:v>
      </x:c>
      <x:c r="D18" s="7" t="str">
        <x:v>Поступление</x:v>
      </x:c>
      <x:c r="E18" s="7" t="str">
        <x:v>Учебная оплата недели 4</x:v>
      </x:c>
      <x:c r="F18" s="7" t="str">
        <x:v>Учебный доход 4</x:v>
      </x:c>
      <x:c r="G18" s="7" t="str">
        <x:v>Продажи</x:v>
      </x:c>
      <x:c r="H18" s="8" t="n">
        <x:v>46302</x:v>
      </x:c>
      <x:c r="I18" s="8" t="n">
        <x:v>46302</x:v>
      </x:c>
      <x:c r="J18" s="26" t="n">
        <x:v>100000</x:v>
      </x:c>
      <x:c r="K18" s="26" t="n">
        <x:v>0</x:v>
      </x:c>
      <x:c r="L18" s="27" t="n">
        <x:f>IF(COUNTA(C18:K18)+COUNTA(M18:O18)=0,"",IF(AND(ISNUMBER(J18),ISNUMBER(K18),J18&gt;=0,K18&gt;=0,K18&lt;=J18),ROUND(J18-K18,2),""))</x:f>
        <x:v>100000</x:v>
      </x:c>
      <x:c r="M18" s="7" t="str">
        <x:v>Входящий платёж</x:v>
      </x:c>
      <x:c r="N18" s="7" t="str">
        <x:v>Ответственный 2</x:v>
      </x:c>
      <x:c r="O18" s="7" t="str">
        <x:v>Заменить данными компании</x:v>
      </x:c>
      <x:c r="P18" s="2" t="str">
        <x:f>IF(COUNTA(C18:K18)+COUNTA(M18:O18)=0,"",IF(OR(C18="",E18="",F18="",G18="",N18=""),"Ошибка: заполните поля",IF(COUNTIFS($C$10:$C$109,C18)&gt;1,"Ошибка: повтор ID",IF(AND(D18&lt;&gt;"Поступление",D18&lt;&gt;"Выплата"),"Ошибка: тип",IF(OR(NOT(ISNUMBER(J18)),NOT(ISNUMBER(K18))),"Ошибка: нет суммы",IF(OR(J18&lt;0,K18&lt;0,K18&gt;J18,ABS(J18-ROUND(J18,2))&gt;0.0000001,ABS(K18-ROUND(K18,2))&gt;0.0000001),"Ошибка: суммы",IF(AND(H18&lt;&gt;"",NOT(ISNUMBER(H18))),"Ошибка: срок",IF(OR(AND(D18="Поступление",M18&lt;&gt;"Входящий платёж"),AND(D18="Выплата",M18&lt;&gt;"Не рассмотрено",M18&lt;&gt;"Коллегия одобрила",M18&lt;&gt;"Проверено к оплате")),"Ошибка: согласование",IF(L18=0,"Закрыто",IF(NOT(ISNUMBER(I18)),"Ошибка: нет даты",IF(OR(I18&lt;'Сверка'!$D$4,I18&lt;&gt;INT(I18)),"Ошибка: обновите дату","В прогнозе")))))))))))</x:f>
        <x:v>В прогнозе</x:v>
      </x:c>
      <x:c r="Q18" s="25" t="n">
        <x:f>IF(ISERROR(P18),1,IF(OR(P18="В прогнозе",P18="Закрыто",P18=""),0,1))</x:f>
        <x:v>0</x:v>
      </x:c>
    </x:row>
    <x:row r="19" ht="24" customHeight="1">
      <x:c r="C19" s="7" t="str">
        <x:v>Р-006</x:v>
      </x:c>
      <x:c r="D19" s="7" t="str">
        <x:v>Выплата</x:v>
      </x:c>
      <x:c r="E19" s="7" t="str">
        <x:v>Учебные выплаты недели 4</x:v>
      </x:c>
      <x:c r="F19" s="7" t="str">
        <x:v>Учебный расход 4</x:v>
      </x:c>
      <x:c r="G19" s="7" t="str">
        <x:v>Текущие обязательства</x:v>
      </x:c>
      <x:c r="H19" s="8" t="n">
        <x:v>46304</x:v>
      </x:c>
      <x:c r="I19" s="8" t="n">
        <x:v>46304</x:v>
      </x:c>
      <x:c r="J19" s="26" t="n">
        <x:v>95000</x:v>
      </x:c>
      <x:c r="K19" s="26" t="n">
        <x:v>0</x:v>
      </x:c>
      <x:c r="L19" s="27" t="n">
        <x:f>IF(COUNTA(C19:K19)+COUNTA(M19:O19)=0,"",IF(AND(ISNUMBER(J19),ISNUMBER(K19),J19&gt;=0,K19&gt;=0,K19&lt;=J19),ROUND(J19-K19,2),""))</x:f>
        <x:v>95000</x:v>
      </x:c>
      <x:c r="M19" s="7" t="str">
        <x:v>Проверено к оплате</x:v>
      </x:c>
      <x:c r="N19" s="7" t="str">
        <x:v>Ответственный 1</x:v>
      </x:c>
      <x:c r="O19" s="7" t="str">
        <x:v>Заменить данными компании</x:v>
      </x:c>
      <x:c r="P19" s="2" t="str">
        <x:f>IF(COUNTA(C19:K19)+COUNTA(M19:O19)=0,"",IF(OR(C19="",E19="",F19="",G19="",N19=""),"Ошибка: заполните поля",IF(COUNTIFS($C$10:$C$109,C19)&gt;1,"Ошибка: повтор ID",IF(AND(D19&lt;&gt;"Поступление",D19&lt;&gt;"Выплата"),"Ошибка: тип",IF(OR(NOT(ISNUMBER(J19)),NOT(ISNUMBER(K19))),"Ошибка: нет суммы",IF(OR(J19&lt;0,K19&lt;0,K19&gt;J19,ABS(J19-ROUND(J19,2))&gt;0.0000001,ABS(K19-ROUND(K19,2))&gt;0.0000001),"Ошибка: суммы",IF(AND(H19&lt;&gt;"",NOT(ISNUMBER(H19))),"Ошибка: срок",IF(OR(AND(D19="Поступление",M19&lt;&gt;"Входящий платёж"),AND(D19="Выплата",M19&lt;&gt;"Не рассмотрено",M19&lt;&gt;"Коллегия одобрила",M19&lt;&gt;"Проверено к оплате")),"Ошибка: согласование",IF(L19=0,"Закрыто",IF(NOT(ISNUMBER(I19)),"Ошибка: нет даты",IF(OR(I19&lt;'Сверка'!$D$4,I19&lt;&gt;INT(I19)),"Ошибка: обновите дату","В прогнозе")))))))))))</x:f>
        <x:v>В прогнозе</x:v>
      </x:c>
      <x:c r="Q19" s="25" t="n">
        <x:f>IF(ISERROR(P19),1,IF(OR(P19="В прогнозе",P19="Закрыто",P19=""),0,1))</x:f>
        <x:v>0</x:v>
      </x:c>
    </x:row>
    <x:row r="20" ht="24" customHeight="1">
      <x:c r="C20" s="7" t="str">
        <x:v>П-005</x:v>
      </x:c>
      <x:c r="D20" s="7" t="str">
        <x:v>Поступление</x:v>
      </x:c>
      <x:c r="E20" s="7" t="str">
        <x:v>Учебная оплата недели 5</x:v>
      </x:c>
      <x:c r="F20" s="7" t="str">
        <x:v>Учебный доход 5</x:v>
      </x:c>
      <x:c r="G20" s="7" t="str">
        <x:v>Продажи</x:v>
      </x:c>
      <x:c r="H20" s="8" t="n">
        <x:v>46309</x:v>
      </x:c>
      <x:c r="I20" s="8" t="n">
        <x:v>46309</x:v>
      </x:c>
      <x:c r="J20" s="26" t="n">
        <x:v>100000</x:v>
      </x:c>
      <x:c r="K20" s="26" t="n">
        <x:v>0</x:v>
      </x:c>
      <x:c r="L20" s="27" t="n">
        <x:f>IF(COUNTA(C20:K20)+COUNTA(M20:O20)=0,"",IF(AND(ISNUMBER(J20),ISNUMBER(K20),J20&gt;=0,K20&gt;=0,K20&lt;=J20),ROUND(J20-K20,2),""))</x:f>
        <x:v>100000</x:v>
      </x:c>
      <x:c r="M20" s="7" t="str">
        <x:v>Входящий платёж</x:v>
      </x:c>
      <x:c r="N20" s="7" t="str">
        <x:v>Ответственный 2</x:v>
      </x:c>
      <x:c r="O20" s="7" t="str">
        <x:v>Заменить данными компании</x:v>
      </x:c>
      <x:c r="P20" s="2" t="str">
        <x:f>IF(COUNTA(C20:K20)+COUNTA(M20:O20)=0,"",IF(OR(C20="",E20="",F20="",G20="",N20=""),"Ошибка: заполните поля",IF(COUNTIFS($C$10:$C$109,C20)&gt;1,"Ошибка: повтор ID",IF(AND(D20&lt;&gt;"Поступление",D20&lt;&gt;"Выплата"),"Ошибка: тип",IF(OR(NOT(ISNUMBER(J20)),NOT(ISNUMBER(K20))),"Ошибка: нет суммы",IF(OR(J20&lt;0,K20&lt;0,K20&gt;J20,ABS(J20-ROUND(J20,2))&gt;0.0000001,ABS(K20-ROUND(K20,2))&gt;0.0000001),"Ошибка: суммы",IF(AND(H20&lt;&gt;"",NOT(ISNUMBER(H20))),"Ошибка: срок",IF(OR(AND(D20="Поступление",M20&lt;&gt;"Входящий платёж"),AND(D20="Выплата",M20&lt;&gt;"Не рассмотрено",M20&lt;&gt;"Коллегия одобрила",M20&lt;&gt;"Проверено к оплате")),"Ошибка: согласование",IF(L20=0,"Закрыто",IF(NOT(ISNUMBER(I20)),"Ошибка: нет даты",IF(OR(I20&lt;'Сверка'!$D$4,I20&lt;&gt;INT(I20)),"Ошибка: обновите дату","В прогнозе")))))))))))</x:f>
        <x:v>В прогнозе</x:v>
      </x:c>
      <x:c r="Q20" s="25" t="n">
        <x:f>IF(ISERROR(P20),1,IF(OR(P20="В прогнозе",P20="Закрыто",P20=""),0,1))</x:f>
        <x:v>0</x:v>
      </x:c>
    </x:row>
    <x:row r="21" ht="24" customHeight="1">
      <x:c r="C21" s="7" t="str">
        <x:v>Р-007</x:v>
      </x:c>
      <x:c r="D21" s="7" t="str">
        <x:v>Выплата</x:v>
      </x:c>
      <x:c r="E21" s="7" t="str">
        <x:v>Учебные выплаты недели 5</x:v>
      </x:c>
      <x:c r="F21" s="7" t="str">
        <x:v>Учебный расход 5</x:v>
      </x:c>
      <x:c r="G21" s="7" t="str">
        <x:v>Текущие обязательства</x:v>
      </x:c>
      <x:c r="H21" s="8" t="n">
        <x:v>46311</x:v>
      </x:c>
      <x:c r="I21" s="8" t="n">
        <x:v>46311</x:v>
      </x:c>
      <x:c r="J21" s="26" t="n">
        <x:v>95000</x:v>
      </x:c>
      <x:c r="K21" s="26" t="n">
        <x:v>0</x:v>
      </x:c>
      <x:c r="L21" s="27" t="n">
        <x:f>IF(COUNTA(C21:K21)+COUNTA(M21:O21)=0,"",IF(AND(ISNUMBER(J21),ISNUMBER(K21),J21&gt;=0,K21&gt;=0,K21&lt;=J21),ROUND(J21-K21,2),""))</x:f>
        <x:v>95000</x:v>
      </x:c>
      <x:c r="M21" s="7" t="str">
        <x:v>Проверено к оплате</x:v>
      </x:c>
      <x:c r="N21" s="7" t="str">
        <x:v>Ответственный 1</x:v>
      </x:c>
      <x:c r="O21" s="7" t="str">
        <x:v>Заменить данными компании</x:v>
      </x:c>
      <x:c r="P21" s="2" t="str">
        <x:f>IF(COUNTA(C21:K21)+COUNTA(M21:O21)=0,"",IF(OR(C21="",E21="",F21="",G21="",N21=""),"Ошибка: заполните поля",IF(COUNTIFS($C$10:$C$109,C21)&gt;1,"Ошибка: повтор ID",IF(AND(D21&lt;&gt;"Поступление",D21&lt;&gt;"Выплата"),"Ошибка: тип",IF(OR(NOT(ISNUMBER(J21)),NOT(ISNUMBER(K21))),"Ошибка: нет суммы",IF(OR(J21&lt;0,K21&lt;0,K21&gt;J21,ABS(J21-ROUND(J21,2))&gt;0.0000001,ABS(K21-ROUND(K21,2))&gt;0.0000001),"Ошибка: суммы",IF(AND(H21&lt;&gt;"",NOT(ISNUMBER(H21))),"Ошибка: срок",IF(OR(AND(D21="Поступление",M21&lt;&gt;"Входящий платёж"),AND(D21="Выплата",M21&lt;&gt;"Не рассмотрено",M21&lt;&gt;"Коллегия одобрила",M21&lt;&gt;"Проверено к оплате")),"Ошибка: согласование",IF(L21=0,"Закрыто",IF(NOT(ISNUMBER(I21)),"Ошибка: нет даты",IF(OR(I21&lt;'Сверка'!$D$4,I21&lt;&gt;INT(I21)),"Ошибка: обновите дату","В прогнозе")))))))))))</x:f>
        <x:v>В прогнозе</x:v>
      </x:c>
      <x:c r="Q21" s="25" t="n">
        <x:f>IF(ISERROR(P21),1,IF(OR(P21="В прогнозе",P21="Закрыто",P21=""),0,1))</x:f>
        <x:v>0</x:v>
      </x:c>
    </x:row>
    <x:row r="22" ht="24" customHeight="1">
      <x:c r="C22" s="7" t="str">
        <x:v>П-006</x:v>
      </x:c>
      <x:c r="D22" s="7" t="str">
        <x:v>Поступление</x:v>
      </x:c>
      <x:c r="E22" s="7" t="str">
        <x:v>Учебная оплата недели 6</x:v>
      </x:c>
      <x:c r="F22" s="7" t="str">
        <x:v>Учебный доход 6</x:v>
      </x:c>
      <x:c r="G22" s="7" t="str">
        <x:v>Продажи</x:v>
      </x:c>
      <x:c r="H22" s="8" t="n">
        <x:v>46316</x:v>
      </x:c>
      <x:c r="I22" s="8" t="n">
        <x:v>46316</x:v>
      </x:c>
      <x:c r="J22" s="26" t="n">
        <x:v>100000</x:v>
      </x:c>
      <x:c r="K22" s="26" t="n">
        <x:v>0</x:v>
      </x:c>
      <x:c r="L22" s="27" t="n">
        <x:f>IF(COUNTA(C22:K22)+COUNTA(M22:O22)=0,"",IF(AND(ISNUMBER(J22),ISNUMBER(K22),J22&gt;=0,K22&gt;=0,K22&lt;=J22),ROUND(J22-K22,2),""))</x:f>
        <x:v>100000</x:v>
      </x:c>
      <x:c r="M22" s="7" t="str">
        <x:v>Входящий платёж</x:v>
      </x:c>
      <x:c r="N22" s="7" t="str">
        <x:v>Ответственный 2</x:v>
      </x:c>
      <x:c r="O22" s="7" t="str">
        <x:v>Заменить данными компании</x:v>
      </x:c>
      <x:c r="P22" s="2" t="str">
        <x:f>IF(COUNTA(C22:K22)+COUNTA(M22:O22)=0,"",IF(OR(C22="",E22="",F22="",G22="",N22=""),"Ошибка: заполните поля",IF(COUNTIFS($C$10:$C$109,C22)&gt;1,"Ошибка: повтор ID",IF(AND(D22&lt;&gt;"Поступление",D22&lt;&gt;"Выплата"),"Ошибка: тип",IF(OR(NOT(ISNUMBER(J22)),NOT(ISNUMBER(K22))),"Ошибка: нет суммы",IF(OR(J22&lt;0,K22&lt;0,K22&gt;J22,ABS(J22-ROUND(J22,2))&gt;0.0000001,ABS(K22-ROUND(K22,2))&gt;0.0000001),"Ошибка: суммы",IF(AND(H22&lt;&gt;"",NOT(ISNUMBER(H22))),"Ошибка: срок",IF(OR(AND(D22="Поступление",M22&lt;&gt;"Входящий платёж"),AND(D22="Выплата",M22&lt;&gt;"Не рассмотрено",M22&lt;&gt;"Коллегия одобрила",M22&lt;&gt;"Проверено к оплате")),"Ошибка: согласование",IF(L22=0,"Закрыто",IF(NOT(ISNUMBER(I22)),"Ошибка: нет даты",IF(OR(I22&lt;'Сверка'!$D$4,I22&lt;&gt;INT(I22)),"Ошибка: обновите дату","В прогнозе")))))))))))</x:f>
        <x:v>В прогнозе</x:v>
      </x:c>
      <x:c r="Q22" s="25" t="n">
        <x:f>IF(ISERROR(P22),1,IF(OR(P22="В прогнозе",P22="Закрыто",P22=""),0,1))</x:f>
        <x:v>0</x:v>
      </x:c>
    </x:row>
    <x:row r="23" ht="24" customHeight="1">
      <x:c r="C23" s="7" t="str">
        <x:v>Р-008</x:v>
      </x:c>
      <x:c r="D23" s="7" t="str">
        <x:v>Выплата</x:v>
      </x:c>
      <x:c r="E23" s="7" t="str">
        <x:v>Учебные выплаты недели 6</x:v>
      </x:c>
      <x:c r="F23" s="7" t="str">
        <x:v>Учебный расход 6</x:v>
      </x:c>
      <x:c r="G23" s="7" t="str">
        <x:v>Текущие обязательства</x:v>
      </x:c>
      <x:c r="H23" s="8" t="n">
        <x:v>46318</x:v>
      </x:c>
      <x:c r="I23" s="8" t="n">
        <x:v>46318</x:v>
      </x:c>
      <x:c r="J23" s="26" t="n">
        <x:v>95000</x:v>
      </x:c>
      <x:c r="K23" s="26" t="n">
        <x:v>0</x:v>
      </x:c>
      <x:c r="L23" s="27" t="n">
        <x:f>IF(COUNTA(C23:K23)+COUNTA(M23:O23)=0,"",IF(AND(ISNUMBER(J23),ISNUMBER(K23),J23&gt;=0,K23&gt;=0,K23&lt;=J23),ROUND(J23-K23,2),""))</x:f>
        <x:v>95000</x:v>
      </x:c>
      <x:c r="M23" s="7" t="str">
        <x:v>Проверено к оплате</x:v>
      </x:c>
      <x:c r="N23" s="7" t="str">
        <x:v>Ответственный 1</x:v>
      </x:c>
      <x:c r="O23" s="7" t="str">
        <x:v>Заменить данными компании</x:v>
      </x:c>
      <x:c r="P23" s="2" t="str">
        <x:f>IF(COUNTA(C23:K23)+COUNTA(M23:O23)=0,"",IF(OR(C23="",E23="",F23="",G23="",N23=""),"Ошибка: заполните поля",IF(COUNTIFS($C$10:$C$109,C23)&gt;1,"Ошибка: повтор ID",IF(AND(D23&lt;&gt;"Поступление",D23&lt;&gt;"Выплата"),"Ошибка: тип",IF(OR(NOT(ISNUMBER(J23)),NOT(ISNUMBER(K23))),"Ошибка: нет суммы",IF(OR(J23&lt;0,K23&lt;0,K23&gt;J23,ABS(J23-ROUND(J23,2))&gt;0.0000001,ABS(K23-ROUND(K23,2))&gt;0.0000001),"Ошибка: суммы",IF(AND(H23&lt;&gt;"",NOT(ISNUMBER(H23))),"Ошибка: срок",IF(OR(AND(D23="Поступление",M23&lt;&gt;"Входящий платёж"),AND(D23="Выплата",M23&lt;&gt;"Не рассмотрено",M23&lt;&gt;"Коллегия одобрила",M23&lt;&gt;"Проверено к оплате")),"Ошибка: согласование",IF(L23=0,"Закрыто",IF(NOT(ISNUMBER(I23)),"Ошибка: нет даты",IF(OR(I23&lt;'Сверка'!$D$4,I23&lt;&gt;INT(I23)),"Ошибка: обновите дату","В прогнозе")))))))))))</x:f>
        <x:v>В прогнозе</x:v>
      </x:c>
      <x:c r="Q23" s="25" t="n">
        <x:f>IF(ISERROR(P23),1,IF(OR(P23="В прогнозе",P23="Закрыто",P23=""),0,1))</x:f>
        <x:v>0</x:v>
      </x:c>
    </x:row>
    <x:row r="24" ht="24" customHeight="1">
      <x:c r="C24" s="7" t="str">
        <x:v>П-007</x:v>
      </x:c>
      <x:c r="D24" s="7" t="str">
        <x:v>Поступление</x:v>
      </x:c>
      <x:c r="E24" s="7" t="str">
        <x:v>Учебная оплата недели 7</x:v>
      </x:c>
      <x:c r="F24" s="7" t="str">
        <x:v>Учебный доход 7</x:v>
      </x:c>
      <x:c r="G24" s="7" t="str">
        <x:v>Продажи</x:v>
      </x:c>
      <x:c r="H24" s="8" t="n">
        <x:v>46323</x:v>
      </x:c>
      <x:c r="I24" s="8" t="n">
        <x:v>46323</x:v>
      </x:c>
      <x:c r="J24" s="26" t="n">
        <x:v>100000</x:v>
      </x:c>
      <x:c r="K24" s="26" t="n">
        <x:v>0</x:v>
      </x:c>
      <x:c r="L24" s="27" t="n">
        <x:f>IF(COUNTA(C24:K24)+COUNTA(M24:O24)=0,"",IF(AND(ISNUMBER(J24),ISNUMBER(K24),J24&gt;=0,K24&gt;=0,K24&lt;=J24),ROUND(J24-K24,2),""))</x:f>
        <x:v>100000</x:v>
      </x:c>
      <x:c r="M24" s="7" t="str">
        <x:v>Входящий платёж</x:v>
      </x:c>
      <x:c r="N24" s="7" t="str">
        <x:v>Ответственный 2</x:v>
      </x:c>
      <x:c r="O24" s="7" t="str">
        <x:v>Заменить данными компании</x:v>
      </x:c>
      <x:c r="P24" s="2" t="str">
        <x:f>IF(COUNTA(C24:K24)+COUNTA(M24:O24)=0,"",IF(OR(C24="",E24="",F24="",G24="",N24=""),"Ошибка: заполните поля",IF(COUNTIFS($C$10:$C$109,C24)&gt;1,"Ошибка: повтор ID",IF(AND(D24&lt;&gt;"Поступление",D24&lt;&gt;"Выплата"),"Ошибка: тип",IF(OR(NOT(ISNUMBER(J24)),NOT(ISNUMBER(K24))),"Ошибка: нет суммы",IF(OR(J24&lt;0,K24&lt;0,K24&gt;J24,ABS(J24-ROUND(J24,2))&gt;0.0000001,ABS(K24-ROUND(K24,2))&gt;0.0000001),"Ошибка: суммы",IF(AND(H24&lt;&gt;"",NOT(ISNUMBER(H24))),"Ошибка: срок",IF(OR(AND(D24="Поступление",M24&lt;&gt;"Входящий платёж"),AND(D24="Выплата",M24&lt;&gt;"Не рассмотрено",M24&lt;&gt;"Коллегия одобрила",M24&lt;&gt;"Проверено к оплате")),"Ошибка: согласование",IF(L24=0,"Закрыто",IF(NOT(ISNUMBER(I24)),"Ошибка: нет даты",IF(OR(I24&lt;'Сверка'!$D$4,I24&lt;&gt;INT(I24)),"Ошибка: обновите дату","В прогнозе")))))))))))</x:f>
        <x:v>В прогнозе</x:v>
      </x:c>
      <x:c r="Q24" s="25" t="n">
        <x:f>IF(ISERROR(P24),1,IF(OR(P24="В прогнозе",P24="Закрыто",P24=""),0,1))</x:f>
        <x:v>0</x:v>
      </x:c>
    </x:row>
    <x:row r="25" ht="24" customHeight="1">
      <x:c r="C25" s="7" t="str">
        <x:v>Р-009</x:v>
      </x:c>
      <x:c r="D25" s="7" t="str">
        <x:v>Выплата</x:v>
      </x:c>
      <x:c r="E25" s="7" t="str">
        <x:v>Учебные выплаты недели 7</x:v>
      </x:c>
      <x:c r="F25" s="7" t="str">
        <x:v>Учебный расход 7</x:v>
      </x:c>
      <x:c r="G25" s="7" t="str">
        <x:v>Текущие обязательства</x:v>
      </x:c>
      <x:c r="H25" s="8" t="n">
        <x:v>46325</x:v>
      </x:c>
      <x:c r="I25" s="8" t="n">
        <x:v>46325</x:v>
      </x:c>
      <x:c r="J25" s="26" t="n">
        <x:v>95000</x:v>
      </x:c>
      <x:c r="K25" s="26" t="n">
        <x:v>0</x:v>
      </x:c>
      <x:c r="L25" s="27" t="n">
        <x:f>IF(COUNTA(C25:K25)+COUNTA(M25:O25)=0,"",IF(AND(ISNUMBER(J25),ISNUMBER(K25),J25&gt;=0,K25&gt;=0,K25&lt;=J25),ROUND(J25-K25,2),""))</x:f>
        <x:v>95000</x:v>
      </x:c>
      <x:c r="M25" s="7" t="str">
        <x:v>Проверено к оплате</x:v>
      </x:c>
      <x:c r="N25" s="7" t="str">
        <x:v>Ответственный 1</x:v>
      </x:c>
      <x:c r="O25" s="7" t="str">
        <x:v>Заменить данными компании</x:v>
      </x:c>
      <x:c r="P25" s="2" t="str">
        <x:f>IF(COUNTA(C25:K25)+COUNTA(M25:O25)=0,"",IF(OR(C25="",E25="",F25="",G25="",N25=""),"Ошибка: заполните поля",IF(COUNTIFS($C$10:$C$109,C25)&gt;1,"Ошибка: повтор ID",IF(AND(D25&lt;&gt;"Поступление",D25&lt;&gt;"Выплата"),"Ошибка: тип",IF(OR(NOT(ISNUMBER(J25)),NOT(ISNUMBER(K25))),"Ошибка: нет суммы",IF(OR(J25&lt;0,K25&lt;0,K25&gt;J25,ABS(J25-ROUND(J25,2))&gt;0.0000001,ABS(K25-ROUND(K25,2))&gt;0.0000001),"Ошибка: суммы",IF(AND(H25&lt;&gt;"",NOT(ISNUMBER(H25))),"Ошибка: срок",IF(OR(AND(D25="Поступление",M25&lt;&gt;"Входящий платёж"),AND(D25="Выплата",M25&lt;&gt;"Не рассмотрено",M25&lt;&gt;"Коллегия одобрила",M25&lt;&gt;"Проверено к оплате")),"Ошибка: согласование",IF(L25=0,"Закрыто",IF(NOT(ISNUMBER(I25)),"Ошибка: нет даты",IF(OR(I25&lt;'Сверка'!$D$4,I25&lt;&gt;INT(I25)),"Ошибка: обновите дату","В прогнозе")))))))))))</x:f>
        <x:v>В прогнозе</x:v>
      </x:c>
      <x:c r="Q25" s="25" t="n">
        <x:f>IF(ISERROR(P25),1,IF(OR(P25="В прогнозе",P25="Закрыто",P25=""),0,1))</x:f>
        <x:v>0</x:v>
      </x:c>
    </x:row>
    <x:row r="26" ht="24" customHeight="1">
      <x:c r="C26" s="7" t="str">
        <x:v>П-008</x:v>
      </x:c>
      <x:c r="D26" s="7" t="str">
        <x:v>Поступление</x:v>
      </x:c>
      <x:c r="E26" s="7" t="str">
        <x:v>Учебная оплата недели 8</x:v>
      </x:c>
      <x:c r="F26" s="7" t="str">
        <x:v>Учебный доход 8</x:v>
      </x:c>
      <x:c r="G26" s="7" t="str">
        <x:v>Продажи</x:v>
      </x:c>
      <x:c r="H26" s="8" t="n">
        <x:v>46330</x:v>
      </x:c>
      <x:c r="I26" s="8" t="n">
        <x:v>46330</x:v>
      </x:c>
      <x:c r="J26" s="26" t="n">
        <x:v>100000</x:v>
      </x:c>
      <x:c r="K26" s="26" t="n">
        <x:v>0</x:v>
      </x:c>
      <x:c r="L26" s="27" t="n">
        <x:f>IF(COUNTA(C26:K26)+COUNTA(M26:O26)=0,"",IF(AND(ISNUMBER(J26),ISNUMBER(K26),J26&gt;=0,K26&gt;=0,K26&lt;=J26),ROUND(J26-K26,2),""))</x:f>
        <x:v>100000</x:v>
      </x:c>
      <x:c r="M26" s="7" t="str">
        <x:v>Входящий платёж</x:v>
      </x:c>
      <x:c r="N26" s="7" t="str">
        <x:v>Ответственный 2</x:v>
      </x:c>
      <x:c r="O26" s="7" t="str">
        <x:v>Заменить данными компании</x:v>
      </x:c>
      <x:c r="P26" s="2" t="str">
        <x:f>IF(COUNTA(C26:K26)+COUNTA(M26:O26)=0,"",IF(OR(C26="",E26="",F26="",G26="",N26=""),"Ошибка: заполните поля",IF(COUNTIFS($C$10:$C$109,C26)&gt;1,"Ошибка: повтор ID",IF(AND(D26&lt;&gt;"Поступление",D26&lt;&gt;"Выплата"),"Ошибка: тип",IF(OR(NOT(ISNUMBER(J26)),NOT(ISNUMBER(K26))),"Ошибка: нет суммы",IF(OR(J26&lt;0,K26&lt;0,K26&gt;J26,ABS(J26-ROUND(J26,2))&gt;0.0000001,ABS(K26-ROUND(K26,2))&gt;0.0000001),"Ошибка: суммы",IF(AND(H26&lt;&gt;"",NOT(ISNUMBER(H26))),"Ошибка: срок",IF(OR(AND(D26="Поступление",M26&lt;&gt;"Входящий платёж"),AND(D26="Выплата",M26&lt;&gt;"Не рассмотрено",M26&lt;&gt;"Коллегия одобрила",M26&lt;&gt;"Проверено к оплате")),"Ошибка: согласование",IF(L26=0,"Закрыто",IF(NOT(ISNUMBER(I26)),"Ошибка: нет даты",IF(OR(I26&lt;'Сверка'!$D$4,I26&lt;&gt;INT(I26)),"Ошибка: обновите дату","В прогнозе")))))))))))</x:f>
        <x:v>В прогнозе</x:v>
      </x:c>
      <x:c r="Q26" s="25" t="n">
        <x:f>IF(ISERROR(P26),1,IF(OR(P26="В прогнозе",P26="Закрыто",P26=""),0,1))</x:f>
        <x:v>0</x:v>
      </x:c>
    </x:row>
    <x:row r="27" ht="24" customHeight="1">
      <x:c r="C27" s="7" t="str">
        <x:v>Р-010</x:v>
      </x:c>
      <x:c r="D27" s="7" t="str">
        <x:v>Выплата</x:v>
      </x:c>
      <x:c r="E27" s="7" t="str">
        <x:v>Учебные выплаты недели 8</x:v>
      </x:c>
      <x:c r="F27" s="7" t="str">
        <x:v>Учебный расход 8</x:v>
      </x:c>
      <x:c r="G27" s="7" t="str">
        <x:v>Текущие обязательства</x:v>
      </x:c>
      <x:c r="H27" s="8" t="n">
        <x:v>46332</x:v>
      </x:c>
      <x:c r="I27" s="8" t="n">
        <x:v>46332</x:v>
      </x:c>
      <x:c r="J27" s="26" t="n">
        <x:v>95000</x:v>
      </x:c>
      <x:c r="K27" s="26" t="n">
        <x:v>0</x:v>
      </x:c>
      <x:c r="L27" s="27" t="n">
        <x:f>IF(COUNTA(C27:K27)+COUNTA(M27:O27)=0,"",IF(AND(ISNUMBER(J27),ISNUMBER(K27),J27&gt;=0,K27&gt;=0,K27&lt;=J27),ROUND(J27-K27,2),""))</x:f>
        <x:v>95000</x:v>
      </x:c>
      <x:c r="M27" s="7" t="str">
        <x:v>Проверено к оплате</x:v>
      </x:c>
      <x:c r="N27" s="7" t="str">
        <x:v>Ответственный 1</x:v>
      </x:c>
      <x:c r="O27" s="7" t="str">
        <x:v>Заменить данными компании</x:v>
      </x:c>
      <x:c r="P27" s="2" t="str">
        <x:f>IF(COUNTA(C27:K27)+COUNTA(M27:O27)=0,"",IF(OR(C27="",E27="",F27="",G27="",N27=""),"Ошибка: заполните поля",IF(COUNTIFS($C$10:$C$109,C27)&gt;1,"Ошибка: повтор ID",IF(AND(D27&lt;&gt;"Поступление",D27&lt;&gt;"Выплата"),"Ошибка: тип",IF(OR(NOT(ISNUMBER(J27)),NOT(ISNUMBER(K27))),"Ошибка: нет суммы",IF(OR(J27&lt;0,K27&lt;0,K27&gt;J27,ABS(J27-ROUND(J27,2))&gt;0.0000001,ABS(K27-ROUND(K27,2))&gt;0.0000001),"Ошибка: суммы",IF(AND(H27&lt;&gt;"",NOT(ISNUMBER(H27))),"Ошибка: срок",IF(OR(AND(D27="Поступление",M27&lt;&gt;"Входящий платёж"),AND(D27="Выплата",M27&lt;&gt;"Не рассмотрено",M27&lt;&gt;"Коллегия одобрила",M27&lt;&gt;"Проверено к оплате")),"Ошибка: согласование",IF(L27=0,"Закрыто",IF(NOT(ISNUMBER(I27)),"Ошибка: нет даты",IF(OR(I27&lt;'Сверка'!$D$4,I27&lt;&gt;INT(I27)),"Ошибка: обновите дату","В прогнозе")))))))))))</x:f>
        <x:v>В прогнозе</x:v>
      </x:c>
      <x:c r="Q27" s="25" t="n">
        <x:f>IF(ISERROR(P27),1,IF(OR(P27="В прогнозе",P27="Закрыто",P27=""),0,1))</x:f>
        <x:v>0</x:v>
      </x:c>
    </x:row>
    <x:row r="28" ht="24" customHeight="1">
      <x:c r="C28" s="7" t="str">
        <x:v>П-009</x:v>
      </x:c>
      <x:c r="D28" s="7" t="str">
        <x:v>Поступление</x:v>
      </x:c>
      <x:c r="E28" s="7" t="str">
        <x:v>Учебная оплата недели 9</x:v>
      </x:c>
      <x:c r="F28" s="7" t="str">
        <x:v>Учебный доход 9</x:v>
      </x:c>
      <x:c r="G28" s="7" t="str">
        <x:v>Продажи</x:v>
      </x:c>
      <x:c r="H28" s="8" t="n">
        <x:v>46337</x:v>
      </x:c>
      <x:c r="I28" s="8" t="n">
        <x:v>46337</x:v>
      </x:c>
      <x:c r="J28" s="26" t="n">
        <x:v>100000</x:v>
      </x:c>
      <x:c r="K28" s="26" t="n">
        <x:v>0</x:v>
      </x:c>
      <x:c r="L28" s="27" t="n">
        <x:f>IF(COUNTA(C28:K28)+COUNTA(M28:O28)=0,"",IF(AND(ISNUMBER(J28),ISNUMBER(K28),J28&gt;=0,K28&gt;=0,K28&lt;=J28),ROUND(J28-K28,2),""))</x:f>
        <x:v>100000</x:v>
      </x:c>
      <x:c r="M28" s="7" t="str">
        <x:v>Входящий платёж</x:v>
      </x:c>
      <x:c r="N28" s="7" t="str">
        <x:v>Ответственный 2</x:v>
      </x:c>
      <x:c r="O28" s="7" t="str">
        <x:v>Заменить данными компании</x:v>
      </x:c>
      <x:c r="P28" s="2" t="str">
        <x:f>IF(COUNTA(C28:K28)+COUNTA(M28:O28)=0,"",IF(OR(C28="",E28="",F28="",G28="",N28=""),"Ошибка: заполните поля",IF(COUNTIFS($C$10:$C$109,C28)&gt;1,"Ошибка: повтор ID",IF(AND(D28&lt;&gt;"Поступление",D28&lt;&gt;"Выплата"),"Ошибка: тип",IF(OR(NOT(ISNUMBER(J28)),NOT(ISNUMBER(K28))),"Ошибка: нет суммы",IF(OR(J28&lt;0,K28&lt;0,K28&gt;J28,ABS(J28-ROUND(J28,2))&gt;0.0000001,ABS(K28-ROUND(K28,2))&gt;0.0000001),"Ошибка: суммы",IF(AND(H28&lt;&gt;"",NOT(ISNUMBER(H28))),"Ошибка: срок",IF(OR(AND(D28="Поступление",M28&lt;&gt;"Входящий платёж"),AND(D28="Выплата",M28&lt;&gt;"Не рассмотрено",M28&lt;&gt;"Коллегия одобрила",M28&lt;&gt;"Проверено к оплате")),"Ошибка: согласование",IF(L28=0,"Закрыто",IF(NOT(ISNUMBER(I28)),"Ошибка: нет даты",IF(OR(I28&lt;'Сверка'!$D$4,I28&lt;&gt;INT(I28)),"Ошибка: обновите дату","В прогнозе")))))))))))</x:f>
        <x:v>В прогнозе</x:v>
      </x:c>
      <x:c r="Q28" s="25" t="n">
        <x:f>IF(ISERROR(P28),1,IF(OR(P28="В прогнозе",P28="Закрыто",P28=""),0,1))</x:f>
        <x:v>0</x:v>
      </x:c>
    </x:row>
    <x:row r="29" ht="24" customHeight="1">
      <x:c r="C29" s="7" t="str">
        <x:v>Р-011</x:v>
      </x:c>
      <x:c r="D29" s="7" t="str">
        <x:v>Выплата</x:v>
      </x:c>
      <x:c r="E29" s="7" t="str">
        <x:v>Учебные выплаты недели 9</x:v>
      </x:c>
      <x:c r="F29" s="7" t="str">
        <x:v>Учебный расход 9</x:v>
      </x:c>
      <x:c r="G29" s="7" t="str">
        <x:v>Текущие обязательства</x:v>
      </x:c>
      <x:c r="H29" s="8" t="n">
        <x:v>46339</x:v>
      </x:c>
      <x:c r="I29" s="8" t="n">
        <x:v>46339</x:v>
      </x:c>
      <x:c r="J29" s="26" t="n">
        <x:v>95000</x:v>
      </x:c>
      <x:c r="K29" s="26" t="n">
        <x:v>0</x:v>
      </x:c>
      <x:c r="L29" s="27" t="n">
        <x:f>IF(COUNTA(C29:K29)+COUNTA(M29:O29)=0,"",IF(AND(ISNUMBER(J29),ISNUMBER(K29),J29&gt;=0,K29&gt;=0,K29&lt;=J29),ROUND(J29-K29,2),""))</x:f>
        <x:v>95000</x:v>
      </x:c>
      <x:c r="M29" s="7" t="str">
        <x:v>Проверено к оплате</x:v>
      </x:c>
      <x:c r="N29" s="7" t="str">
        <x:v>Ответственный 1</x:v>
      </x:c>
      <x:c r="O29" s="7" t="str">
        <x:v>Заменить данными компании</x:v>
      </x:c>
      <x:c r="P29" s="2" t="str">
        <x:f>IF(COUNTA(C29:K29)+COUNTA(M29:O29)=0,"",IF(OR(C29="",E29="",F29="",G29="",N29=""),"Ошибка: заполните поля",IF(COUNTIFS($C$10:$C$109,C29)&gt;1,"Ошибка: повтор ID",IF(AND(D29&lt;&gt;"Поступление",D29&lt;&gt;"Выплата"),"Ошибка: тип",IF(OR(NOT(ISNUMBER(J29)),NOT(ISNUMBER(K29))),"Ошибка: нет суммы",IF(OR(J29&lt;0,K29&lt;0,K29&gt;J29,ABS(J29-ROUND(J29,2))&gt;0.0000001,ABS(K29-ROUND(K29,2))&gt;0.0000001),"Ошибка: суммы",IF(AND(H29&lt;&gt;"",NOT(ISNUMBER(H29))),"Ошибка: срок",IF(OR(AND(D29="Поступление",M29&lt;&gt;"Входящий платёж"),AND(D29="Выплата",M29&lt;&gt;"Не рассмотрено",M29&lt;&gt;"Коллегия одобрила",M29&lt;&gt;"Проверено к оплате")),"Ошибка: согласование",IF(L29=0,"Закрыто",IF(NOT(ISNUMBER(I29)),"Ошибка: нет даты",IF(OR(I29&lt;'Сверка'!$D$4,I29&lt;&gt;INT(I29)),"Ошибка: обновите дату","В прогнозе")))))))))))</x:f>
        <x:v>В прогнозе</x:v>
      </x:c>
      <x:c r="Q29" s="25" t="n">
        <x:f>IF(ISERROR(P29),1,IF(OR(P29="В прогнозе",P29="Закрыто",P29=""),0,1))</x:f>
        <x:v>0</x:v>
      </x:c>
    </x:row>
    <x:row r="30" ht="24" customHeight="1">
      <x:c r="C30" s="7" t="str">
        <x:v>П-010</x:v>
      </x:c>
      <x:c r="D30" s="7" t="str">
        <x:v>Поступление</x:v>
      </x:c>
      <x:c r="E30" s="7" t="str">
        <x:v>Учебная оплата недели 10</x:v>
      </x:c>
      <x:c r="F30" s="7" t="str">
        <x:v>Учебный доход 10</x:v>
      </x:c>
      <x:c r="G30" s="7" t="str">
        <x:v>Продажи</x:v>
      </x:c>
      <x:c r="H30" s="8" t="n">
        <x:v>46344</x:v>
      </x:c>
      <x:c r="I30" s="8" t="n">
        <x:v>46344</x:v>
      </x:c>
      <x:c r="J30" s="26" t="n">
        <x:v>100000</x:v>
      </x:c>
      <x:c r="K30" s="26" t="n">
        <x:v>0</x:v>
      </x:c>
      <x:c r="L30" s="27" t="n">
        <x:f>IF(COUNTA(C30:K30)+COUNTA(M30:O30)=0,"",IF(AND(ISNUMBER(J30),ISNUMBER(K30),J30&gt;=0,K30&gt;=0,K30&lt;=J30),ROUND(J30-K30,2),""))</x:f>
        <x:v>100000</x:v>
      </x:c>
      <x:c r="M30" s="7" t="str">
        <x:v>Входящий платёж</x:v>
      </x:c>
      <x:c r="N30" s="7" t="str">
        <x:v>Ответственный 2</x:v>
      </x:c>
      <x:c r="O30" s="7" t="str">
        <x:v>Заменить данными компании</x:v>
      </x:c>
      <x:c r="P30" s="2" t="str">
        <x:f>IF(COUNTA(C30:K30)+COUNTA(M30:O30)=0,"",IF(OR(C30="",E30="",F30="",G30="",N30=""),"Ошибка: заполните поля",IF(COUNTIFS($C$10:$C$109,C30)&gt;1,"Ошибка: повтор ID",IF(AND(D30&lt;&gt;"Поступление",D30&lt;&gt;"Выплата"),"Ошибка: тип",IF(OR(NOT(ISNUMBER(J30)),NOT(ISNUMBER(K30))),"Ошибка: нет суммы",IF(OR(J30&lt;0,K30&lt;0,K30&gt;J30,ABS(J30-ROUND(J30,2))&gt;0.0000001,ABS(K30-ROUND(K30,2))&gt;0.0000001),"Ошибка: суммы",IF(AND(H30&lt;&gt;"",NOT(ISNUMBER(H30))),"Ошибка: срок",IF(OR(AND(D30="Поступление",M30&lt;&gt;"Входящий платёж"),AND(D30="Выплата",M30&lt;&gt;"Не рассмотрено",M30&lt;&gt;"Коллегия одобрила",M30&lt;&gt;"Проверено к оплате")),"Ошибка: согласование",IF(L30=0,"Закрыто",IF(NOT(ISNUMBER(I30)),"Ошибка: нет даты",IF(OR(I30&lt;'Сверка'!$D$4,I30&lt;&gt;INT(I30)),"Ошибка: обновите дату","В прогнозе")))))))))))</x:f>
        <x:v>В прогнозе</x:v>
      </x:c>
      <x:c r="Q30" s="25" t="n">
        <x:f>IF(ISERROR(P30),1,IF(OR(P30="В прогнозе",P30="Закрыто",P30=""),0,1))</x:f>
        <x:v>0</x:v>
      </x:c>
    </x:row>
    <x:row r="31" ht="24" customHeight="1">
      <x:c r="C31" s="7" t="str">
        <x:v>Р-012</x:v>
      </x:c>
      <x:c r="D31" s="7" t="str">
        <x:v>Выплата</x:v>
      </x:c>
      <x:c r="E31" s="7" t="str">
        <x:v>Учебные выплаты недели 10</x:v>
      </x:c>
      <x:c r="F31" s="7" t="str">
        <x:v>Учебный расход 10</x:v>
      </x:c>
      <x:c r="G31" s="7" t="str">
        <x:v>Текущие обязательства</x:v>
      </x:c>
      <x:c r="H31" s="8" t="n">
        <x:v>46346</x:v>
      </x:c>
      <x:c r="I31" s="8" t="n">
        <x:v>46346</x:v>
      </x:c>
      <x:c r="J31" s="26" t="n">
        <x:v>95000</x:v>
      </x:c>
      <x:c r="K31" s="26" t="n">
        <x:v>0</x:v>
      </x:c>
      <x:c r="L31" s="27" t="n">
        <x:f>IF(COUNTA(C31:K31)+COUNTA(M31:O31)=0,"",IF(AND(ISNUMBER(J31),ISNUMBER(K31),J31&gt;=0,K31&gt;=0,K31&lt;=J31),ROUND(J31-K31,2),""))</x:f>
        <x:v>95000</x:v>
      </x:c>
      <x:c r="M31" s="7" t="str">
        <x:v>Проверено к оплате</x:v>
      </x:c>
      <x:c r="N31" s="7" t="str">
        <x:v>Ответственный 1</x:v>
      </x:c>
      <x:c r="O31" s="7" t="str">
        <x:v>Заменить данными компании</x:v>
      </x:c>
      <x:c r="P31" s="2" t="str">
        <x:f>IF(COUNTA(C31:K31)+COUNTA(M31:O31)=0,"",IF(OR(C31="",E31="",F31="",G31="",N31=""),"Ошибка: заполните поля",IF(COUNTIFS($C$10:$C$109,C31)&gt;1,"Ошибка: повтор ID",IF(AND(D31&lt;&gt;"Поступление",D31&lt;&gt;"Выплата"),"Ошибка: тип",IF(OR(NOT(ISNUMBER(J31)),NOT(ISNUMBER(K31))),"Ошибка: нет суммы",IF(OR(J31&lt;0,K31&lt;0,K31&gt;J31,ABS(J31-ROUND(J31,2))&gt;0.0000001,ABS(K31-ROUND(K31,2))&gt;0.0000001),"Ошибка: суммы",IF(AND(H31&lt;&gt;"",NOT(ISNUMBER(H31))),"Ошибка: срок",IF(OR(AND(D31="Поступление",M31&lt;&gt;"Входящий платёж"),AND(D31="Выплата",M31&lt;&gt;"Не рассмотрено",M31&lt;&gt;"Коллегия одобрила",M31&lt;&gt;"Проверено к оплате")),"Ошибка: согласование",IF(L31=0,"Закрыто",IF(NOT(ISNUMBER(I31)),"Ошибка: нет даты",IF(OR(I31&lt;'Сверка'!$D$4,I31&lt;&gt;INT(I31)),"Ошибка: обновите дату","В прогнозе")))))))))))</x:f>
        <x:v>В прогнозе</x:v>
      </x:c>
      <x:c r="Q31" s="25" t="n">
        <x:f>IF(ISERROR(P31),1,IF(OR(P31="В прогнозе",P31="Закрыто",P31=""),0,1))</x:f>
        <x:v>0</x:v>
      </x:c>
    </x:row>
    <x:row r="32" ht="24" customHeight="1">
      <x:c r="C32" s="7" t="str">
        <x:v>П-011</x:v>
      </x:c>
      <x:c r="D32" s="7" t="str">
        <x:v>Поступление</x:v>
      </x:c>
      <x:c r="E32" s="7" t="str">
        <x:v>Учебная оплата недели 11</x:v>
      </x:c>
      <x:c r="F32" s="7" t="str">
        <x:v>Учебный доход 11</x:v>
      </x:c>
      <x:c r="G32" s="7" t="str">
        <x:v>Продажи</x:v>
      </x:c>
      <x:c r="H32" s="8" t="n">
        <x:v>46351</x:v>
      </x:c>
      <x:c r="I32" s="8" t="n">
        <x:v>46351</x:v>
      </x:c>
      <x:c r="J32" s="26" t="n">
        <x:v>100000</x:v>
      </x:c>
      <x:c r="K32" s="26" t="n">
        <x:v>0</x:v>
      </x:c>
      <x:c r="L32" s="27" t="n">
        <x:f>IF(COUNTA(C32:K32)+COUNTA(M32:O32)=0,"",IF(AND(ISNUMBER(J32),ISNUMBER(K32),J32&gt;=0,K32&gt;=0,K32&lt;=J32),ROUND(J32-K32,2),""))</x:f>
        <x:v>100000</x:v>
      </x:c>
      <x:c r="M32" s="7" t="str">
        <x:v>Входящий платёж</x:v>
      </x:c>
      <x:c r="N32" s="7" t="str">
        <x:v>Ответственный 2</x:v>
      </x:c>
      <x:c r="O32" s="7" t="str">
        <x:v>Заменить данными компании</x:v>
      </x:c>
      <x:c r="P32" s="2" t="str">
        <x:f>IF(COUNTA(C32:K32)+COUNTA(M32:O32)=0,"",IF(OR(C32="",E32="",F32="",G32="",N32=""),"Ошибка: заполните поля",IF(COUNTIFS($C$10:$C$109,C32)&gt;1,"Ошибка: повтор ID",IF(AND(D32&lt;&gt;"Поступление",D32&lt;&gt;"Выплата"),"Ошибка: тип",IF(OR(NOT(ISNUMBER(J32)),NOT(ISNUMBER(K32))),"Ошибка: нет суммы",IF(OR(J32&lt;0,K32&lt;0,K32&gt;J32,ABS(J32-ROUND(J32,2))&gt;0.0000001,ABS(K32-ROUND(K32,2))&gt;0.0000001),"Ошибка: суммы",IF(AND(H32&lt;&gt;"",NOT(ISNUMBER(H32))),"Ошибка: срок",IF(OR(AND(D32="Поступление",M32&lt;&gt;"Входящий платёж"),AND(D32="Выплата",M32&lt;&gt;"Не рассмотрено",M32&lt;&gt;"Коллегия одобрила",M32&lt;&gt;"Проверено к оплате")),"Ошибка: согласование",IF(L32=0,"Закрыто",IF(NOT(ISNUMBER(I32)),"Ошибка: нет даты",IF(OR(I32&lt;'Сверка'!$D$4,I32&lt;&gt;INT(I32)),"Ошибка: обновите дату","В прогнозе")))))))))))</x:f>
        <x:v>В прогнозе</x:v>
      </x:c>
      <x:c r="Q32" s="25" t="n">
        <x:f>IF(ISERROR(P32),1,IF(OR(P32="В прогнозе",P32="Закрыто",P32=""),0,1))</x:f>
        <x:v>0</x:v>
      </x:c>
    </x:row>
    <x:row r="33" ht="24" customHeight="1">
      <x:c r="C33" s="7" t="str">
        <x:v>Р-013</x:v>
      </x:c>
      <x:c r="D33" s="7" t="str">
        <x:v>Выплата</x:v>
      </x:c>
      <x:c r="E33" s="7" t="str">
        <x:v>Учебные выплаты недели 11</x:v>
      </x:c>
      <x:c r="F33" s="7" t="str">
        <x:v>Учебный расход 11</x:v>
      </x:c>
      <x:c r="G33" s="7" t="str">
        <x:v>Текущие обязательства</x:v>
      </x:c>
      <x:c r="H33" s="8" t="n">
        <x:v>46353</x:v>
      </x:c>
      <x:c r="I33" s="8" t="n">
        <x:v>46353</x:v>
      </x:c>
      <x:c r="J33" s="26" t="n">
        <x:v>95000</x:v>
      </x:c>
      <x:c r="K33" s="26" t="n">
        <x:v>0</x:v>
      </x:c>
      <x:c r="L33" s="27" t="n">
        <x:f>IF(COUNTA(C33:K33)+COUNTA(M33:O33)=0,"",IF(AND(ISNUMBER(J33),ISNUMBER(K33),J33&gt;=0,K33&gt;=0,K33&lt;=J33),ROUND(J33-K33,2),""))</x:f>
        <x:v>95000</x:v>
      </x:c>
      <x:c r="M33" s="7" t="str">
        <x:v>Проверено к оплате</x:v>
      </x:c>
      <x:c r="N33" s="7" t="str">
        <x:v>Ответственный 1</x:v>
      </x:c>
      <x:c r="O33" s="7" t="str">
        <x:v>Заменить данными компании</x:v>
      </x:c>
      <x:c r="P33" s="2" t="str">
        <x:f>IF(COUNTA(C33:K33)+COUNTA(M33:O33)=0,"",IF(OR(C33="",E33="",F33="",G33="",N33=""),"Ошибка: заполните поля",IF(COUNTIFS($C$10:$C$109,C33)&gt;1,"Ошибка: повтор ID",IF(AND(D33&lt;&gt;"Поступление",D33&lt;&gt;"Выплата"),"Ошибка: тип",IF(OR(NOT(ISNUMBER(J33)),NOT(ISNUMBER(K33))),"Ошибка: нет суммы",IF(OR(J33&lt;0,K33&lt;0,K33&gt;J33,ABS(J33-ROUND(J33,2))&gt;0.0000001,ABS(K33-ROUND(K33,2))&gt;0.0000001),"Ошибка: суммы",IF(AND(H33&lt;&gt;"",NOT(ISNUMBER(H33))),"Ошибка: срок",IF(OR(AND(D33="Поступление",M33&lt;&gt;"Входящий платёж"),AND(D33="Выплата",M33&lt;&gt;"Не рассмотрено",M33&lt;&gt;"Коллегия одобрила",M33&lt;&gt;"Проверено к оплате")),"Ошибка: согласование",IF(L33=0,"Закрыто",IF(NOT(ISNUMBER(I33)),"Ошибка: нет даты",IF(OR(I33&lt;'Сверка'!$D$4,I33&lt;&gt;INT(I33)),"Ошибка: обновите дату","В прогнозе")))))))))))</x:f>
        <x:v>В прогнозе</x:v>
      </x:c>
      <x:c r="Q33" s="25" t="n">
        <x:f>IF(ISERROR(P33),1,IF(OR(P33="В прогнозе",P33="Закрыто",P33=""),0,1))</x:f>
        <x:v>0</x:v>
      </x:c>
    </x:row>
    <x:row r="34" ht="24" customHeight="1">
      <x:c r="C34" s="7" t="str">
        <x:v>П-012</x:v>
      </x:c>
      <x:c r="D34" s="7" t="str">
        <x:v>Поступление</x:v>
      </x:c>
      <x:c r="E34" s="7" t="str">
        <x:v>Учебная оплата недели 12</x:v>
      </x:c>
      <x:c r="F34" s="7" t="str">
        <x:v>Учебный доход 12</x:v>
      </x:c>
      <x:c r="G34" s="7" t="str">
        <x:v>Продажи</x:v>
      </x:c>
      <x:c r="H34" s="8" t="n">
        <x:v>46358</x:v>
      </x:c>
      <x:c r="I34" s="8" t="n">
        <x:v>46358</x:v>
      </x:c>
      <x:c r="J34" s="26" t="n">
        <x:v>100000</x:v>
      </x:c>
      <x:c r="K34" s="26" t="n">
        <x:v>0</x:v>
      </x:c>
      <x:c r="L34" s="27" t="n">
        <x:f>IF(COUNTA(C34:K34)+COUNTA(M34:O34)=0,"",IF(AND(ISNUMBER(J34),ISNUMBER(K34),J34&gt;=0,K34&gt;=0,K34&lt;=J34),ROUND(J34-K34,2),""))</x:f>
        <x:v>100000</x:v>
      </x:c>
      <x:c r="M34" s="7" t="str">
        <x:v>Входящий платёж</x:v>
      </x:c>
      <x:c r="N34" s="7" t="str">
        <x:v>Ответственный 2</x:v>
      </x:c>
      <x:c r="O34" s="7" t="str">
        <x:v>Заменить данными компании</x:v>
      </x:c>
      <x:c r="P34" s="2" t="str">
        <x:f>IF(COUNTA(C34:K34)+COUNTA(M34:O34)=0,"",IF(OR(C34="",E34="",F34="",G34="",N34=""),"Ошибка: заполните поля",IF(COUNTIFS($C$10:$C$109,C34)&gt;1,"Ошибка: повтор ID",IF(AND(D34&lt;&gt;"Поступление",D34&lt;&gt;"Выплата"),"Ошибка: тип",IF(OR(NOT(ISNUMBER(J34)),NOT(ISNUMBER(K34))),"Ошибка: нет суммы",IF(OR(J34&lt;0,K34&lt;0,K34&gt;J34,ABS(J34-ROUND(J34,2))&gt;0.0000001,ABS(K34-ROUND(K34,2))&gt;0.0000001),"Ошибка: суммы",IF(AND(H34&lt;&gt;"",NOT(ISNUMBER(H34))),"Ошибка: срок",IF(OR(AND(D34="Поступление",M34&lt;&gt;"Входящий платёж"),AND(D34="Выплата",M34&lt;&gt;"Не рассмотрено",M34&lt;&gt;"Коллегия одобрила",M34&lt;&gt;"Проверено к оплате")),"Ошибка: согласование",IF(L34=0,"Закрыто",IF(NOT(ISNUMBER(I34)),"Ошибка: нет даты",IF(OR(I34&lt;'Сверка'!$D$4,I34&lt;&gt;INT(I34)),"Ошибка: обновите дату","В прогнозе")))))))))))</x:f>
        <x:v>В прогнозе</x:v>
      </x:c>
      <x:c r="Q34" s="25" t="n">
        <x:f>IF(ISERROR(P34),1,IF(OR(P34="В прогнозе",P34="Закрыто",P34=""),0,1))</x:f>
        <x:v>0</x:v>
      </x:c>
    </x:row>
    <x:row r="35" ht="24" customHeight="1">
      <x:c r="C35" s="7" t="str">
        <x:v>Р-014</x:v>
      </x:c>
      <x:c r="D35" s="7" t="str">
        <x:v>Выплата</x:v>
      </x:c>
      <x:c r="E35" s="7" t="str">
        <x:v>Учебные выплаты недели 12</x:v>
      </x:c>
      <x:c r="F35" s="7" t="str">
        <x:v>Учебный расход 12</x:v>
      </x:c>
      <x:c r="G35" s="7" t="str">
        <x:v>Текущие обязательства</x:v>
      </x:c>
      <x:c r="H35" s="8" t="n">
        <x:v>46360</x:v>
      </x:c>
      <x:c r="I35" s="8" t="n">
        <x:v>46360</x:v>
      </x:c>
      <x:c r="J35" s="26" t="n">
        <x:v>95000</x:v>
      </x:c>
      <x:c r="K35" s="26" t="n">
        <x:v>0</x:v>
      </x:c>
      <x:c r="L35" s="27" t="n">
        <x:f>IF(COUNTA(C35:K35)+COUNTA(M35:O35)=0,"",IF(AND(ISNUMBER(J35),ISNUMBER(K35),J35&gt;=0,K35&gt;=0,K35&lt;=J35),ROUND(J35-K35,2),""))</x:f>
        <x:v>95000</x:v>
      </x:c>
      <x:c r="M35" s="7" t="str">
        <x:v>Проверено к оплате</x:v>
      </x:c>
      <x:c r="N35" s="7" t="str">
        <x:v>Ответственный 1</x:v>
      </x:c>
      <x:c r="O35" s="7" t="str">
        <x:v>Заменить данными компании</x:v>
      </x:c>
      <x:c r="P35" s="2" t="str">
        <x:f>IF(COUNTA(C35:K35)+COUNTA(M35:O35)=0,"",IF(OR(C35="",E35="",F35="",G35="",N35=""),"Ошибка: заполните поля",IF(COUNTIFS($C$10:$C$109,C35)&gt;1,"Ошибка: повтор ID",IF(AND(D35&lt;&gt;"Поступление",D35&lt;&gt;"Выплата"),"Ошибка: тип",IF(OR(NOT(ISNUMBER(J35)),NOT(ISNUMBER(K35))),"Ошибка: нет суммы",IF(OR(J35&lt;0,K35&lt;0,K35&gt;J35,ABS(J35-ROUND(J35,2))&gt;0.0000001,ABS(K35-ROUND(K35,2))&gt;0.0000001),"Ошибка: суммы",IF(AND(H35&lt;&gt;"",NOT(ISNUMBER(H35))),"Ошибка: срок",IF(OR(AND(D35="Поступление",M35&lt;&gt;"Входящий платёж"),AND(D35="Выплата",M35&lt;&gt;"Не рассмотрено",M35&lt;&gt;"Коллегия одобрила",M35&lt;&gt;"Проверено к оплате")),"Ошибка: согласование",IF(L35=0,"Закрыто",IF(NOT(ISNUMBER(I35)),"Ошибка: нет даты",IF(OR(I35&lt;'Сверка'!$D$4,I35&lt;&gt;INT(I35)),"Ошибка: обновите дату","В прогнозе")))))))))))</x:f>
        <x:v>В прогнозе</x:v>
      </x:c>
      <x:c r="Q35" s="25" t="n">
        <x:f>IF(ISERROR(P35),1,IF(OR(P35="В прогнозе",P35="Закрыто",P35=""),0,1))</x:f>
        <x:v>0</x:v>
      </x:c>
    </x:row>
    <x:row r="36" ht="24" customHeight="1">
      <x:c r="C36" s="7" t="str">
        <x:v>П-013</x:v>
      </x:c>
      <x:c r="D36" s="7" t="str">
        <x:v>Поступление</x:v>
      </x:c>
      <x:c r="E36" s="7" t="str">
        <x:v>Учебная оплата недели 13</x:v>
      </x:c>
      <x:c r="F36" s="7" t="str">
        <x:v>Учебный доход 13</x:v>
      </x:c>
      <x:c r="G36" s="7" t="str">
        <x:v>Продажи</x:v>
      </x:c>
      <x:c r="H36" s="8" t="n">
        <x:v>46365</x:v>
      </x:c>
      <x:c r="I36" s="8" t="n">
        <x:v>46365</x:v>
      </x:c>
      <x:c r="J36" s="26" t="n">
        <x:v>100000</x:v>
      </x:c>
      <x:c r="K36" s="26" t="n">
        <x:v>0</x:v>
      </x:c>
      <x:c r="L36" s="27" t="n">
        <x:f>IF(COUNTA(C36:K36)+COUNTA(M36:O36)=0,"",IF(AND(ISNUMBER(J36),ISNUMBER(K36),J36&gt;=0,K36&gt;=0,K36&lt;=J36),ROUND(J36-K36,2),""))</x:f>
        <x:v>100000</x:v>
      </x:c>
      <x:c r="M36" s="7" t="str">
        <x:v>Входящий платёж</x:v>
      </x:c>
      <x:c r="N36" s="7" t="str">
        <x:v>Ответственный 2</x:v>
      </x:c>
      <x:c r="O36" s="7" t="str">
        <x:v>Заменить данными компании</x:v>
      </x:c>
      <x:c r="P36" s="2" t="str">
        <x:f>IF(COUNTA(C36:K36)+COUNTA(M36:O36)=0,"",IF(OR(C36="",E36="",F36="",G36="",N36=""),"Ошибка: заполните поля",IF(COUNTIFS($C$10:$C$109,C36)&gt;1,"Ошибка: повтор ID",IF(AND(D36&lt;&gt;"Поступление",D36&lt;&gt;"Выплата"),"Ошибка: тип",IF(OR(NOT(ISNUMBER(J36)),NOT(ISNUMBER(K36))),"Ошибка: нет суммы",IF(OR(J36&lt;0,K36&lt;0,K36&gt;J36,ABS(J36-ROUND(J36,2))&gt;0.0000001,ABS(K36-ROUND(K36,2))&gt;0.0000001),"Ошибка: суммы",IF(AND(H36&lt;&gt;"",NOT(ISNUMBER(H36))),"Ошибка: срок",IF(OR(AND(D36="Поступление",M36&lt;&gt;"Входящий платёж"),AND(D36="Выплата",M36&lt;&gt;"Не рассмотрено",M36&lt;&gt;"Коллегия одобрила",M36&lt;&gt;"Проверено к оплате")),"Ошибка: согласование",IF(L36=0,"Закрыто",IF(NOT(ISNUMBER(I36)),"Ошибка: нет даты",IF(OR(I36&lt;'Сверка'!$D$4,I36&lt;&gt;INT(I36)),"Ошибка: обновите дату","В прогнозе")))))))))))</x:f>
        <x:v>В прогнозе</x:v>
      </x:c>
      <x:c r="Q36" s="25" t="n">
        <x:f>IF(ISERROR(P36),1,IF(OR(P36="В прогнозе",P36="Закрыто",P36=""),0,1))</x:f>
        <x:v>0</x:v>
      </x:c>
    </x:row>
    <x:row r="37" ht="24" customHeight="1">
      <x:c r="C37" s="7" t="str">
        <x:v>Р-015</x:v>
      </x:c>
      <x:c r="D37" s="7" t="str">
        <x:v>Выплата</x:v>
      </x:c>
      <x:c r="E37" s="7" t="str">
        <x:v>Учебные выплаты недели 13</x:v>
      </x:c>
      <x:c r="F37" s="7" t="str">
        <x:v>Учебный расход 13</x:v>
      </x:c>
      <x:c r="G37" s="7" t="str">
        <x:v>Текущие обязательства</x:v>
      </x:c>
      <x:c r="H37" s="8" t="n">
        <x:v>46367</x:v>
      </x:c>
      <x:c r="I37" s="8" t="n">
        <x:v>46367</x:v>
      </x:c>
      <x:c r="J37" s="26" t="n">
        <x:v>95000</x:v>
      </x:c>
      <x:c r="K37" s="26" t="n">
        <x:v>0</x:v>
      </x:c>
      <x:c r="L37" s="27" t="n">
        <x:f>IF(COUNTA(C37:K37)+COUNTA(M37:O37)=0,"",IF(AND(ISNUMBER(J37),ISNUMBER(K37),J37&gt;=0,K37&gt;=0,K37&lt;=J37),ROUND(J37-K37,2),""))</x:f>
        <x:v>95000</x:v>
      </x:c>
      <x:c r="M37" s="7" t="str">
        <x:v>Проверено к оплате</x:v>
      </x:c>
      <x:c r="N37" s="7" t="str">
        <x:v>Ответственный 1</x:v>
      </x:c>
      <x:c r="O37" s="7" t="str">
        <x:v>Заменить данными компании</x:v>
      </x:c>
      <x:c r="P37" s="2" t="str">
        <x:f>IF(COUNTA(C37:K37)+COUNTA(M37:O37)=0,"",IF(OR(C37="",E37="",F37="",G37="",N37=""),"Ошибка: заполните поля",IF(COUNTIFS($C$10:$C$109,C37)&gt;1,"Ошибка: повтор ID",IF(AND(D37&lt;&gt;"Поступление",D37&lt;&gt;"Выплата"),"Ошибка: тип",IF(OR(NOT(ISNUMBER(J37)),NOT(ISNUMBER(K37))),"Ошибка: нет суммы",IF(OR(J37&lt;0,K37&lt;0,K37&gt;J37,ABS(J37-ROUND(J37,2))&gt;0.0000001,ABS(K37-ROUND(K37,2))&gt;0.0000001),"Ошибка: суммы",IF(AND(H37&lt;&gt;"",NOT(ISNUMBER(H37))),"Ошибка: срок",IF(OR(AND(D37="Поступление",M37&lt;&gt;"Входящий платёж"),AND(D37="Выплата",M37&lt;&gt;"Не рассмотрено",M37&lt;&gt;"Коллегия одобрила",M37&lt;&gt;"Проверено к оплате")),"Ошибка: согласование",IF(L37=0,"Закрыто",IF(NOT(ISNUMBER(I37)),"Ошибка: нет даты",IF(OR(I37&lt;'Сверка'!$D$4,I37&lt;&gt;INT(I37)),"Ошибка: обновите дату","В прогнозе")))))))))))</x:f>
        <x:v>В прогнозе</x:v>
      </x:c>
      <x:c r="Q37" s="25" t="n">
        <x:f>IF(ISERROR(P37),1,IF(OR(P37="В прогнозе",P37="Закрыто",P37=""),0,1))</x:f>
        <x:v>0</x:v>
      </x:c>
    </x:row>
    <x:row r="38" ht="24" customHeight="1">
      <x:c r="C38" s="7"/>
      <x:c r="D38" s="7"/>
      <x:c r="E38" s="7"/>
      <x:c r="F38" s="7"/>
      <x:c r="G38" s="7"/>
      <x:c r="H38" s="8"/>
      <x:c r="I38" s="8"/>
      <x:c r="J38" s="26"/>
      <x:c r="K38" s="26"/>
      <x:c r="L38" s="27" t="str">
        <x:f>IF(COUNTA(C38:K38)+COUNTA(M38:O38)=0,"",IF(AND(ISNUMBER(J38),ISNUMBER(K38),J38&gt;=0,K38&gt;=0,K38&lt;=J38),ROUND(J38-K38,2),""))</x:f>
      </x:c>
      <x:c r="M38" s="7"/>
      <x:c r="N38" s="7"/>
      <x:c r="O38" s="7"/>
      <x:c r="P38" s="2" t="str">
        <x:f>IF(COUNTA(C38:K38)+COUNTA(M38:O38)=0,"",IF(OR(C38="",E38="",F38="",G38="",N38=""),"Ошибка: заполните поля",IF(COUNTIFS($C$10:$C$109,C38)&gt;1,"Ошибка: повтор ID",IF(AND(D38&lt;&gt;"Поступление",D38&lt;&gt;"Выплата"),"Ошибка: тип",IF(OR(NOT(ISNUMBER(J38)),NOT(ISNUMBER(K38))),"Ошибка: нет суммы",IF(OR(J38&lt;0,K38&lt;0,K38&gt;J38,ABS(J38-ROUND(J38,2))&gt;0.0000001,ABS(K38-ROUND(K38,2))&gt;0.0000001),"Ошибка: суммы",IF(AND(H38&lt;&gt;"",NOT(ISNUMBER(H38))),"Ошибка: срок",IF(OR(AND(D38="Поступление",M38&lt;&gt;"Входящий платёж"),AND(D38="Выплата",M38&lt;&gt;"Не рассмотрено",M38&lt;&gt;"Коллегия одобрила",M38&lt;&gt;"Проверено к оплате")),"Ошибка: согласование",IF(L38=0,"Закрыто",IF(NOT(ISNUMBER(I38)),"Ошибка: нет даты",IF(OR(I38&lt;'Сверка'!$D$4,I38&lt;&gt;INT(I38)),"Ошибка: обновите дату","В прогнозе")))))))))))</x:f>
      </x:c>
      <x:c r="Q38" s="25" t="n">
        <x:f>IF(ISERROR(P38),1,IF(OR(P38="В прогнозе",P38="Закрыто",P38=""),0,1))</x:f>
        <x:v>0</x:v>
      </x:c>
    </x:row>
    <x:row r="39" ht="24" customHeight="1">
      <x:c r="C39" s="7"/>
      <x:c r="D39" s="7"/>
      <x:c r="E39" s="7"/>
      <x:c r="F39" s="7"/>
      <x:c r="G39" s="7"/>
      <x:c r="H39" s="8"/>
      <x:c r="I39" s="8"/>
      <x:c r="J39" s="26"/>
      <x:c r="K39" s="26"/>
      <x:c r="L39" s="27" t="str">
        <x:f>IF(COUNTA(C39:K39)+COUNTA(M39:O39)=0,"",IF(AND(ISNUMBER(J39),ISNUMBER(K39),J39&gt;=0,K39&gt;=0,K39&lt;=J39),ROUND(J39-K39,2),""))</x:f>
      </x:c>
      <x:c r="M39" s="7"/>
      <x:c r="N39" s="7"/>
      <x:c r="O39" s="7"/>
      <x:c r="P39" s="2" t="str">
        <x:f>IF(COUNTA(C39:K39)+COUNTA(M39:O39)=0,"",IF(OR(C39="",E39="",F39="",G39="",N39=""),"Ошибка: заполните поля",IF(COUNTIFS($C$10:$C$109,C39)&gt;1,"Ошибка: повтор ID",IF(AND(D39&lt;&gt;"Поступление",D39&lt;&gt;"Выплата"),"Ошибка: тип",IF(OR(NOT(ISNUMBER(J39)),NOT(ISNUMBER(K39))),"Ошибка: нет суммы",IF(OR(J39&lt;0,K39&lt;0,K39&gt;J39,ABS(J39-ROUND(J39,2))&gt;0.0000001,ABS(K39-ROUND(K39,2))&gt;0.0000001),"Ошибка: суммы",IF(AND(H39&lt;&gt;"",NOT(ISNUMBER(H39))),"Ошибка: срок",IF(OR(AND(D39="Поступление",M39&lt;&gt;"Входящий платёж"),AND(D39="Выплата",M39&lt;&gt;"Не рассмотрено",M39&lt;&gt;"Коллегия одобрила",M39&lt;&gt;"Проверено к оплате")),"Ошибка: согласование",IF(L39=0,"Закрыто",IF(NOT(ISNUMBER(I39)),"Ошибка: нет даты",IF(OR(I39&lt;'Сверка'!$D$4,I39&lt;&gt;INT(I39)),"Ошибка: обновите дату","В прогнозе")))))))))))</x:f>
      </x:c>
      <x:c r="Q39" s="25" t="n">
        <x:f>IF(ISERROR(P39),1,IF(OR(P39="В прогнозе",P39="Закрыто",P39=""),0,1))</x:f>
        <x:v>0</x:v>
      </x:c>
    </x:row>
    <x:row r="40" ht="24" customHeight="1">
      <x:c r="C40" s="7"/>
      <x:c r="D40" s="7"/>
      <x:c r="E40" s="7"/>
      <x:c r="F40" s="7"/>
      <x:c r="G40" s="7"/>
      <x:c r="H40" s="8"/>
      <x:c r="I40" s="8"/>
      <x:c r="J40" s="26"/>
      <x:c r="K40" s="26"/>
      <x:c r="L40" s="27" t="str">
        <x:f>IF(COUNTA(C40:K40)+COUNTA(M40:O40)=0,"",IF(AND(ISNUMBER(J40),ISNUMBER(K40),J40&gt;=0,K40&gt;=0,K40&lt;=J40),ROUND(J40-K40,2),""))</x:f>
      </x:c>
      <x:c r="M40" s="7"/>
      <x:c r="N40" s="7"/>
      <x:c r="O40" s="7"/>
      <x:c r="P40" s="2" t="str">
        <x:f>IF(COUNTA(C40:K40)+COUNTA(M40:O40)=0,"",IF(OR(C40="",E40="",F40="",G40="",N40=""),"Ошибка: заполните поля",IF(COUNTIFS($C$10:$C$109,C40)&gt;1,"Ошибка: повтор ID",IF(AND(D40&lt;&gt;"Поступление",D40&lt;&gt;"Выплата"),"Ошибка: тип",IF(OR(NOT(ISNUMBER(J40)),NOT(ISNUMBER(K40))),"Ошибка: нет суммы",IF(OR(J40&lt;0,K40&lt;0,K40&gt;J40,ABS(J40-ROUND(J40,2))&gt;0.0000001,ABS(K40-ROUND(K40,2))&gt;0.0000001),"Ошибка: суммы",IF(AND(H40&lt;&gt;"",NOT(ISNUMBER(H40))),"Ошибка: срок",IF(OR(AND(D40="Поступление",M40&lt;&gt;"Входящий платёж"),AND(D40="Выплата",M40&lt;&gt;"Не рассмотрено",M40&lt;&gt;"Коллегия одобрила",M40&lt;&gt;"Проверено к оплате")),"Ошибка: согласование",IF(L40=0,"Закрыто",IF(NOT(ISNUMBER(I40)),"Ошибка: нет даты",IF(OR(I40&lt;'Сверка'!$D$4,I40&lt;&gt;INT(I40)),"Ошибка: обновите дату","В прогнозе")))))))))))</x:f>
      </x:c>
      <x:c r="Q40" s="25" t="n">
        <x:f>IF(ISERROR(P40),1,IF(OR(P40="В прогнозе",P40="Закрыто",P40=""),0,1))</x:f>
        <x:v>0</x:v>
      </x:c>
    </x:row>
    <x:row r="41" ht="24" customHeight="1">
      <x:c r="C41" s="7"/>
      <x:c r="D41" s="7"/>
      <x:c r="E41" s="7"/>
      <x:c r="F41" s="7"/>
      <x:c r="G41" s="7"/>
      <x:c r="H41" s="8"/>
      <x:c r="I41" s="8"/>
      <x:c r="J41" s="26"/>
      <x:c r="K41" s="26"/>
      <x:c r="L41" s="27" t="str">
        <x:f>IF(COUNTA(C41:K41)+COUNTA(M41:O41)=0,"",IF(AND(ISNUMBER(J41),ISNUMBER(K41),J41&gt;=0,K41&gt;=0,K41&lt;=J41),ROUND(J41-K41,2),""))</x:f>
      </x:c>
      <x:c r="M41" s="7"/>
      <x:c r="N41" s="7"/>
      <x:c r="O41" s="7"/>
      <x:c r="P41" s="2" t="str">
        <x:f>IF(COUNTA(C41:K41)+COUNTA(M41:O41)=0,"",IF(OR(C41="",E41="",F41="",G41="",N41=""),"Ошибка: заполните поля",IF(COUNTIFS($C$10:$C$109,C41)&gt;1,"Ошибка: повтор ID",IF(AND(D41&lt;&gt;"Поступление",D41&lt;&gt;"Выплата"),"Ошибка: тип",IF(OR(NOT(ISNUMBER(J41)),NOT(ISNUMBER(K41))),"Ошибка: нет суммы",IF(OR(J41&lt;0,K41&lt;0,K41&gt;J41,ABS(J41-ROUND(J41,2))&gt;0.0000001,ABS(K41-ROUND(K41,2))&gt;0.0000001),"Ошибка: суммы",IF(AND(H41&lt;&gt;"",NOT(ISNUMBER(H41))),"Ошибка: срок",IF(OR(AND(D41="Поступление",M41&lt;&gt;"Входящий платёж"),AND(D41="Выплата",M41&lt;&gt;"Не рассмотрено",M41&lt;&gt;"Коллегия одобрила",M41&lt;&gt;"Проверено к оплате")),"Ошибка: согласование",IF(L41=0,"Закрыто",IF(NOT(ISNUMBER(I41)),"Ошибка: нет даты",IF(OR(I41&lt;'Сверка'!$D$4,I41&lt;&gt;INT(I41)),"Ошибка: обновите дату","В прогнозе")))))))))))</x:f>
      </x:c>
      <x:c r="Q41" s="25" t="n">
        <x:f>IF(ISERROR(P41),1,IF(OR(P41="В прогнозе",P41="Закрыто",P41=""),0,1))</x:f>
        <x:v>0</x:v>
      </x:c>
    </x:row>
    <x:row r="42" ht="24" customHeight="1">
      <x:c r="C42" s="7"/>
      <x:c r="D42" s="7"/>
      <x:c r="E42" s="7"/>
      <x:c r="F42" s="7"/>
      <x:c r="G42" s="7"/>
      <x:c r="H42" s="8"/>
      <x:c r="I42" s="8"/>
      <x:c r="J42" s="26"/>
      <x:c r="K42" s="26"/>
      <x:c r="L42" s="27" t="str">
        <x:f>IF(COUNTA(C42:K42)+COUNTA(M42:O42)=0,"",IF(AND(ISNUMBER(J42),ISNUMBER(K42),J42&gt;=0,K42&gt;=0,K42&lt;=J42),ROUND(J42-K42,2),""))</x:f>
      </x:c>
      <x:c r="M42" s="7"/>
      <x:c r="N42" s="7"/>
      <x:c r="O42" s="7"/>
      <x:c r="P42" s="2" t="str">
        <x:f>IF(COUNTA(C42:K42)+COUNTA(M42:O42)=0,"",IF(OR(C42="",E42="",F42="",G42="",N42=""),"Ошибка: заполните поля",IF(COUNTIFS($C$10:$C$109,C42)&gt;1,"Ошибка: повтор ID",IF(AND(D42&lt;&gt;"Поступление",D42&lt;&gt;"Выплата"),"Ошибка: тип",IF(OR(NOT(ISNUMBER(J42)),NOT(ISNUMBER(K42))),"Ошибка: нет суммы",IF(OR(J42&lt;0,K42&lt;0,K42&gt;J42,ABS(J42-ROUND(J42,2))&gt;0.0000001,ABS(K42-ROUND(K42,2))&gt;0.0000001),"Ошибка: суммы",IF(AND(H42&lt;&gt;"",NOT(ISNUMBER(H42))),"Ошибка: срок",IF(OR(AND(D42="Поступление",M42&lt;&gt;"Входящий платёж"),AND(D42="Выплата",M42&lt;&gt;"Не рассмотрено",M42&lt;&gt;"Коллегия одобрила",M42&lt;&gt;"Проверено к оплате")),"Ошибка: согласование",IF(L42=0,"Закрыто",IF(NOT(ISNUMBER(I42)),"Ошибка: нет даты",IF(OR(I42&lt;'Сверка'!$D$4,I42&lt;&gt;INT(I42)),"Ошибка: обновите дату","В прогнозе")))))))))))</x:f>
      </x:c>
      <x:c r="Q42" s="25" t="n">
        <x:f>IF(ISERROR(P42),1,IF(OR(P42="В прогнозе",P42="Закрыто",P42=""),0,1))</x:f>
        <x:v>0</x:v>
      </x:c>
    </x:row>
    <x:row r="43" ht="24" customHeight="1">
      <x:c r="C43" s="7"/>
      <x:c r="D43" s="7"/>
      <x:c r="E43" s="7"/>
      <x:c r="F43" s="7"/>
      <x:c r="G43" s="7"/>
      <x:c r="H43" s="8"/>
      <x:c r="I43" s="8"/>
      <x:c r="J43" s="26"/>
      <x:c r="K43" s="26"/>
      <x:c r="L43" s="27" t="str">
        <x:f>IF(COUNTA(C43:K43)+COUNTA(M43:O43)=0,"",IF(AND(ISNUMBER(J43),ISNUMBER(K43),J43&gt;=0,K43&gt;=0,K43&lt;=J43),ROUND(J43-K43,2),""))</x:f>
      </x:c>
      <x:c r="M43" s="7"/>
      <x:c r="N43" s="7"/>
      <x:c r="O43" s="7"/>
      <x:c r="P43" s="2" t="str">
        <x:f>IF(COUNTA(C43:K43)+COUNTA(M43:O43)=0,"",IF(OR(C43="",E43="",F43="",G43="",N43=""),"Ошибка: заполните поля",IF(COUNTIFS($C$10:$C$109,C43)&gt;1,"Ошибка: повтор ID",IF(AND(D43&lt;&gt;"Поступление",D43&lt;&gt;"Выплата"),"Ошибка: тип",IF(OR(NOT(ISNUMBER(J43)),NOT(ISNUMBER(K43))),"Ошибка: нет суммы",IF(OR(J43&lt;0,K43&lt;0,K43&gt;J43,ABS(J43-ROUND(J43,2))&gt;0.0000001,ABS(K43-ROUND(K43,2))&gt;0.0000001),"Ошибка: суммы",IF(AND(H43&lt;&gt;"",NOT(ISNUMBER(H43))),"Ошибка: срок",IF(OR(AND(D43="Поступление",M43&lt;&gt;"Входящий платёж"),AND(D43="Выплата",M43&lt;&gt;"Не рассмотрено",M43&lt;&gt;"Коллегия одобрила",M43&lt;&gt;"Проверено к оплате")),"Ошибка: согласование",IF(L43=0,"Закрыто",IF(NOT(ISNUMBER(I43)),"Ошибка: нет даты",IF(OR(I43&lt;'Сверка'!$D$4,I43&lt;&gt;INT(I43)),"Ошибка: обновите дату","В прогнозе")))))))))))</x:f>
      </x:c>
      <x:c r="Q43" s="25" t="n">
        <x:f>IF(ISERROR(P43),1,IF(OR(P43="В прогнозе",P43="Закрыто",P43=""),0,1))</x:f>
        <x:v>0</x:v>
      </x:c>
    </x:row>
    <x:row r="44" ht="24" customHeight="1">
      <x:c r="C44" s="7"/>
      <x:c r="D44" s="7"/>
      <x:c r="E44" s="7"/>
      <x:c r="F44" s="7"/>
      <x:c r="G44" s="7"/>
      <x:c r="H44" s="8"/>
      <x:c r="I44" s="8"/>
      <x:c r="J44" s="26"/>
      <x:c r="K44" s="26"/>
      <x:c r="L44" s="27" t="str">
        <x:f>IF(COUNTA(C44:K44)+COUNTA(M44:O44)=0,"",IF(AND(ISNUMBER(J44),ISNUMBER(K44),J44&gt;=0,K44&gt;=0,K44&lt;=J44),ROUND(J44-K44,2),""))</x:f>
      </x:c>
      <x:c r="M44" s="7"/>
      <x:c r="N44" s="7"/>
      <x:c r="O44" s="7"/>
      <x:c r="P44" s="2" t="str">
        <x:f>IF(COUNTA(C44:K44)+COUNTA(M44:O44)=0,"",IF(OR(C44="",E44="",F44="",G44="",N44=""),"Ошибка: заполните поля",IF(COUNTIFS($C$10:$C$109,C44)&gt;1,"Ошибка: повтор ID",IF(AND(D44&lt;&gt;"Поступление",D44&lt;&gt;"Выплата"),"Ошибка: тип",IF(OR(NOT(ISNUMBER(J44)),NOT(ISNUMBER(K44))),"Ошибка: нет суммы",IF(OR(J44&lt;0,K44&lt;0,K44&gt;J44,ABS(J44-ROUND(J44,2))&gt;0.0000001,ABS(K44-ROUND(K44,2))&gt;0.0000001),"Ошибка: суммы",IF(AND(H44&lt;&gt;"",NOT(ISNUMBER(H44))),"Ошибка: срок",IF(OR(AND(D44="Поступление",M44&lt;&gt;"Входящий платёж"),AND(D44="Выплата",M44&lt;&gt;"Не рассмотрено",M44&lt;&gt;"Коллегия одобрила",M44&lt;&gt;"Проверено к оплате")),"Ошибка: согласование",IF(L44=0,"Закрыто",IF(NOT(ISNUMBER(I44)),"Ошибка: нет даты",IF(OR(I44&lt;'Сверка'!$D$4,I44&lt;&gt;INT(I44)),"Ошибка: обновите дату","В прогнозе")))))))))))</x:f>
      </x:c>
      <x:c r="Q44" s="25" t="n">
        <x:f>IF(ISERROR(P44),1,IF(OR(P44="В прогнозе",P44="Закрыто",P44=""),0,1))</x:f>
        <x:v>0</x:v>
      </x:c>
    </x:row>
    <x:row r="45" ht="24" customHeight="1">
      <x:c r="C45" s="7"/>
      <x:c r="D45" s="7"/>
      <x:c r="E45" s="7"/>
      <x:c r="F45" s="7"/>
      <x:c r="G45" s="7"/>
      <x:c r="H45" s="8"/>
      <x:c r="I45" s="8"/>
      <x:c r="J45" s="26"/>
      <x:c r="K45" s="26"/>
      <x:c r="L45" s="27" t="str">
        <x:f>IF(COUNTA(C45:K45)+COUNTA(M45:O45)=0,"",IF(AND(ISNUMBER(J45),ISNUMBER(K45),J45&gt;=0,K45&gt;=0,K45&lt;=J45),ROUND(J45-K45,2),""))</x:f>
      </x:c>
      <x:c r="M45" s="7"/>
      <x:c r="N45" s="7"/>
      <x:c r="O45" s="7"/>
      <x:c r="P45" s="2" t="str">
        <x:f>IF(COUNTA(C45:K45)+COUNTA(M45:O45)=0,"",IF(OR(C45="",E45="",F45="",G45="",N45=""),"Ошибка: заполните поля",IF(COUNTIFS($C$10:$C$109,C45)&gt;1,"Ошибка: повтор ID",IF(AND(D45&lt;&gt;"Поступление",D45&lt;&gt;"Выплата"),"Ошибка: тип",IF(OR(NOT(ISNUMBER(J45)),NOT(ISNUMBER(K45))),"Ошибка: нет суммы",IF(OR(J45&lt;0,K45&lt;0,K45&gt;J45,ABS(J45-ROUND(J45,2))&gt;0.0000001,ABS(K45-ROUND(K45,2))&gt;0.0000001),"Ошибка: суммы",IF(AND(H45&lt;&gt;"",NOT(ISNUMBER(H45))),"Ошибка: срок",IF(OR(AND(D45="Поступление",M45&lt;&gt;"Входящий платёж"),AND(D45="Выплата",M45&lt;&gt;"Не рассмотрено",M45&lt;&gt;"Коллегия одобрила",M45&lt;&gt;"Проверено к оплате")),"Ошибка: согласование",IF(L45=0,"Закрыто",IF(NOT(ISNUMBER(I45)),"Ошибка: нет даты",IF(OR(I45&lt;'Сверка'!$D$4,I45&lt;&gt;INT(I45)),"Ошибка: обновите дату","В прогнозе")))))))))))</x:f>
      </x:c>
      <x:c r="Q45" s="25" t="n">
        <x:f>IF(ISERROR(P45),1,IF(OR(P45="В прогнозе",P45="Закрыто",P45=""),0,1))</x:f>
        <x:v>0</x:v>
      </x:c>
    </x:row>
    <x:row r="46" ht="24" customHeight="1">
      <x:c r="C46" s="7"/>
      <x:c r="D46" s="7"/>
      <x:c r="E46" s="7"/>
      <x:c r="F46" s="7"/>
      <x:c r="G46" s="7"/>
      <x:c r="H46" s="8"/>
      <x:c r="I46" s="8"/>
      <x:c r="J46" s="26"/>
      <x:c r="K46" s="26"/>
      <x:c r="L46" s="27" t="str">
        <x:f>IF(COUNTA(C46:K46)+COUNTA(M46:O46)=0,"",IF(AND(ISNUMBER(J46),ISNUMBER(K46),J46&gt;=0,K46&gt;=0,K46&lt;=J46),ROUND(J46-K46,2),""))</x:f>
      </x:c>
      <x:c r="M46" s="7"/>
      <x:c r="N46" s="7"/>
      <x:c r="O46" s="7"/>
      <x:c r="P46" s="2" t="str">
        <x:f>IF(COUNTA(C46:K46)+COUNTA(M46:O46)=0,"",IF(OR(C46="",E46="",F46="",G46="",N46=""),"Ошибка: заполните поля",IF(COUNTIFS($C$10:$C$109,C46)&gt;1,"Ошибка: повтор ID",IF(AND(D46&lt;&gt;"Поступление",D46&lt;&gt;"Выплата"),"Ошибка: тип",IF(OR(NOT(ISNUMBER(J46)),NOT(ISNUMBER(K46))),"Ошибка: нет суммы",IF(OR(J46&lt;0,K46&lt;0,K46&gt;J46,ABS(J46-ROUND(J46,2))&gt;0.0000001,ABS(K46-ROUND(K46,2))&gt;0.0000001),"Ошибка: суммы",IF(AND(H46&lt;&gt;"",NOT(ISNUMBER(H46))),"Ошибка: срок",IF(OR(AND(D46="Поступление",M46&lt;&gt;"Входящий платёж"),AND(D46="Выплата",M46&lt;&gt;"Не рассмотрено",M46&lt;&gt;"Коллегия одобрила",M46&lt;&gt;"Проверено к оплате")),"Ошибка: согласование",IF(L46=0,"Закрыто",IF(NOT(ISNUMBER(I46)),"Ошибка: нет даты",IF(OR(I46&lt;'Сверка'!$D$4,I46&lt;&gt;INT(I46)),"Ошибка: обновите дату","В прогнозе")))))))))))</x:f>
      </x:c>
      <x:c r="Q46" s="25" t="n">
        <x:f>IF(ISERROR(P46),1,IF(OR(P46="В прогнозе",P46="Закрыто",P46=""),0,1))</x:f>
        <x:v>0</x:v>
      </x:c>
    </x:row>
    <x:row r="47" ht="24" customHeight="1">
      <x:c r="C47" s="7"/>
      <x:c r="D47" s="7"/>
      <x:c r="E47" s="7"/>
      <x:c r="F47" s="7"/>
      <x:c r="G47" s="7"/>
      <x:c r="H47" s="8"/>
      <x:c r="I47" s="8"/>
      <x:c r="J47" s="26"/>
      <x:c r="K47" s="26"/>
      <x:c r="L47" s="27" t="str">
        <x:f>IF(COUNTA(C47:K47)+COUNTA(M47:O47)=0,"",IF(AND(ISNUMBER(J47),ISNUMBER(K47),J47&gt;=0,K47&gt;=0,K47&lt;=J47),ROUND(J47-K47,2),""))</x:f>
      </x:c>
      <x:c r="M47" s="7"/>
      <x:c r="N47" s="7"/>
      <x:c r="O47" s="7"/>
      <x:c r="P47" s="2" t="str">
        <x:f>IF(COUNTA(C47:K47)+COUNTA(M47:O47)=0,"",IF(OR(C47="",E47="",F47="",G47="",N47=""),"Ошибка: заполните поля",IF(COUNTIFS($C$10:$C$109,C47)&gt;1,"Ошибка: повтор ID",IF(AND(D47&lt;&gt;"Поступление",D47&lt;&gt;"Выплата"),"Ошибка: тип",IF(OR(NOT(ISNUMBER(J47)),NOT(ISNUMBER(K47))),"Ошибка: нет суммы",IF(OR(J47&lt;0,K47&lt;0,K47&gt;J47,ABS(J47-ROUND(J47,2))&gt;0.0000001,ABS(K47-ROUND(K47,2))&gt;0.0000001),"Ошибка: суммы",IF(AND(H47&lt;&gt;"",NOT(ISNUMBER(H47))),"Ошибка: срок",IF(OR(AND(D47="Поступление",M47&lt;&gt;"Входящий платёж"),AND(D47="Выплата",M47&lt;&gt;"Не рассмотрено",M47&lt;&gt;"Коллегия одобрила",M47&lt;&gt;"Проверено к оплате")),"Ошибка: согласование",IF(L47=0,"Закрыто",IF(NOT(ISNUMBER(I47)),"Ошибка: нет даты",IF(OR(I47&lt;'Сверка'!$D$4,I47&lt;&gt;INT(I47)),"Ошибка: обновите дату","В прогнозе")))))))))))</x:f>
      </x:c>
      <x:c r="Q47" s="25" t="n">
        <x:f>IF(ISERROR(P47),1,IF(OR(P47="В прогнозе",P47="Закрыто",P47=""),0,1))</x:f>
        <x:v>0</x:v>
      </x:c>
    </x:row>
    <x:row r="48" ht="24" customHeight="1">
      <x:c r="C48" s="7"/>
      <x:c r="D48" s="7"/>
      <x:c r="E48" s="7"/>
      <x:c r="F48" s="7"/>
      <x:c r="G48" s="7"/>
      <x:c r="H48" s="8"/>
      <x:c r="I48" s="8"/>
      <x:c r="J48" s="26"/>
      <x:c r="K48" s="26"/>
      <x:c r="L48" s="27" t="str">
        <x:f>IF(COUNTA(C48:K48)+COUNTA(M48:O48)=0,"",IF(AND(ISNUMBER(J48),ISNUMBER(K48),J48&gt;=0,K48&gt;=0,K48&lt;=J48),ROUND(J48-K48,2),""))</x:f>
      </x:c>
      <x:c r="M48" s="7"/>
      <x:c r="N48" s="7"/>
      <x:c r="O48" s="7"/>
      <x:c r="P48" s="2" t="str">
        <x:f>IF(COUNTA(C48:K48)+COUNTA(M48:O48)=0,"",IF(OR(C48="",E48="",F48="",G48="",N48=""),"Ошибка: заполните поля",IF(COUNTIFS($C$10:$C$109,C48)&gt;1,"Ошибка: повтор ID",IF(AND(D48&lt;&gt;"Поступление",D48&lt;&gt;"Выплата"),"Ошибка: тип",IF(OR(NOT(ISNUMBER(J48)),NOT(ISNUMBER(K48))),"Ошибка: нет суммы",IF(OR(J48&lt;0,K48&lt;0,K48&gt;J48,ABS(J48-ROUND(J48,2))&gt;0.0000001,ABS(K48-ROUND(K48,2))&gt;0.0000001),"Ошибка: суммы",IF(AND(H48&lt;&gt;"",NOT(ISNUMBER(H48))),"Ошибка: срок",IF(OR(AND(D48="Поступление",M48&lt;&gt;"Входящий платёж"),AND(D48="Выплата",M48&lt;&gt;"Не рассмотрено",M48&lt;&gt;"Коллегия одобрила",M48&lt;&gt;"Проверено к оплате")),"Ошибка: согласование",IF(L48=0,"Закрыто",IF(NOT(ISNUMBER(I48)),"Ошибка: нет даты",IF(OR(I48&lt;'Сверка'!$D$4,I48&lt;&gt;INT(I48)),"Ошибка: обновите дату","В прогнозе")))))))))))</x:f>
      </x:c>
      <x:c r="Q48" s="25" t="n">
        <x:f>IF(ISERROR(P48),1,IF(OR(P48="В прогнозе",P48="Закрыто",P48=""),0,1))</x:f>
        <x:v>0</x:v>
      </x:c>
    </x:row>
    <x:row r="49" ht="24" customHeight="1">
      <x:c r="C49" s="7"/>
      <x:c r="D49" s="7"/>
      <x:c r="E49" s="7"/>
      <x:c r="F49" s="7"/>
      <x:c r="G49" s="7"/>
      <x:c r="H49" s="8"/>
      <x:c r="I49" s="8"/>
      <x:c r="J49" s="26"/>
      <x:c r="K49" s="26"/>
      <x:c r="L49" s="27" t="str">
        <x:f>IF(COUNTA(C49:K49)+COUNTA(M49:O49)=0,"",IF(AND(ISNUMBER(J49),ISNUMBER(K49),J49&gt;=0,K49&gt;=0,K49&lt;=J49),ROUND(J49-K49,2),""))</x:f>
      </x:c>
      <x:c r="M49" s="7"/>
      <x:c r="N49" s="7"/>
      <x:c r="O49" s="7"/>
      <x:c r="P49" s="2" t="str">
        <x:f>IF(COUNTA(C49:K49)+COUNTA(M49:O49)=0,"",IF(OR(C49="",E49="",F49="",G49="",N49=""),"Ошибка: заполните поля",IF(COUNTIFS($C$10:$C$109,C49)&gt;1,"Ошибка: повтор ID",IF(AND(D49&lt;&gt;"Поступление",D49&lt;&gt;"Выплата"),"Ошибка: тип",IF(OR(NOT(ISNUMBER(J49)),NOT(ISNUMBER(K49))),"Ошибка: нет суммы",IF(OR(J49&lt;0,K49&lt;0,K49&gt;J49,ABS(J49-ROUND(J49,2))&gt;0.0000001,ABS(K49-ROUND(K49,2))&gt;0.0000001),"Ошибка: суммы",IF(AND(H49&lt;&gt;"",NOT(ISNUMBER(H49))),"Ошибка: срок",IF(OR(AND(D49="Поступление",M49&lt;&gt;"Входящий платёж"),AND(D49="Выплата",M49&lt;&gt;"Не рассмотрено",M49&lt;&gt;"Коллегия одобрила",M49&lt;&gt;"Проверено к оплате")),"Ошибка: согласование",IF(L49=0,"Закрыто",IF(NOT(ISNUMBER(I49)),"Ошибка: нет даты",IF(OR(I49&lt;'Сверка'!$D$4,I49&lt;&gt;INT(I49)),"Ошибка: обновите дату","В прогнозе")))))))))))</x:f>
      </x:c>
      <x:c r="Q49" s="25" t="n">
        <x:f>IF(ISERROR(P49),1,IF(OR(P49="В прогнозе",P49="Закрыто",P49=""),0,1))</x:f>
        <x:v>0</x:v>
      </x:c>
    </x:row>
    <x:row r="50" ht="24" customHeight="1">
      <x:c r="C50" s="7"/>
      <x:c r="D50" s="7"/>
      <x:c r="E50" s="7"/>
      <x:c r="F50" s="7"/>
      <x:c r="G50" s="7"/>
      <x:c r="H50" s="8"/>
      <x:c r="I50" s="8"/>
      <x:c r="J50" s="26"/>
      <x:c r="K50" s="26"/>
      <x:c r="L50" s="27" t="str">
        <x:f>IF(COUNTA(C50:K50)+COUNTA(M50:O50)=0,"",IF(AND(ISNUMBER(J50),ISNUMBER(K50),J50&gt;=0,K50&gt;=0,K50&lt;=J50),ROUND(J50-K50,2),""))</x:f>
      </x:c>
      <x:c r="M50" s="7"/>
      <x:c r="N50" s="7"/>
      <x:c r="O50" s="7"/>
      <x:c r="P50" s="2" t="str">
        <x:f>IF(COUNTA(C50:K50)+COUNTA(M50:O50)=0,"",IF(OR(C50="",E50="",F50="",G50="",N50=""),"Ошибка: заполните поля",IF(COUNTIFS($C$10:$C$109,C50)&gt;1,"Ошибка: повтор ID",IF(AND(D50&lt;&gt;"Поступление",D50&lt;&gt;"Выплата"),"Ошибка: тип",IF(OR(NOT(ISNUMBER(J50)),NOT(ISNUMBER(K50))),"Ошибка: нет суммы",IF(OR(J50&lt;0,K50&lt;0,K50&gt;J50,ABS(J50-ROUND(J50,2))&gt;0.0000001,ABS(K50-ROUND(K50,2))&gt;0.0000001),"Ошибка: суммы",IF(AND(H50&lt;&gt;"",NOT(ISNUMBER(H50))),"Ошибка: срок",IF(OR(AND(D50="Поступление",M50&lt;&gt;"Входящий платёж"),AND(D50="Выплата",M50&lt;&gt;"Не рассмотрено",M50&lt;&gt;"Коллегия одобрила",M50&lt;&gt;"Проверено к оплате")),"Ошибка: согласование",IF(L50=0,"Закрыто",IF(NOT(ISNUMBER(I50)),"Ошибка: нет даты",IF(OR(I50&lt;'Сверка'!$D$4,I50&lt;&gt;INT(I50)),"Ошибка: обновите дату","В прогнозе")))))))))))</x:f>
      </x:c>
      <x:c r="Q50" s="25" t="n">
        <x:f>IF(ISERROR(P50),1,IF(OR(P50="В прогнозе",P50="Закрыто",P50=""),0,1))</x:f>
        <x:v>0</x:v>
      </x:c>
    </x:row>
    <x:row r="51" ht="24" customHeight="1">
      <x:c r="C51" s="7"/>
      <x:c r="D51" s="7"/>
      <x:c r="E51" s="7"/>
      <x:c r="F51" s="7"/>
      <x:c r="G51" s="7"/>
      <x:c r="H51" s="8"/>
      <x:c r="I51" s="8"/>
      <x:c r="J51" s="26"/>
      <x:c r="K51" s="26"/>
      <x:c r="L51" s="27" t="str">
        <x:f>IF(COUNTA(C51:K51)+COUNTA(M51:O51)=0,"",IF(AND(ISNUMBER(J51),ISNUMBER(K51),J51&gt;=0,K51&gt;=0,K51&lt;=J51),ROUND(J51-K51,2),""))</x:f>
      </x:c>
      <x:c r="M51" s="7"/>
      <x:c r="N51" s="7"/>
      <x:c r="O51" s="7"/>
      <x:c r="P51" s="2" t="str">
        <x:f>IF(COUNTA(C51:K51)+COUNTA(M51:O51)=0,"",IF(OR(C51="",E51="",F51="",G51="",N51=""),"Ошибка: заполните поля",IF(COUNTIFS($C$10:$C$109,C51)&gt;1,"Ошибка: повтор ID",IF(AND(D51&lt;&gt;"Поступление",D51&lt;&gt;"Выплата"),"Ошибка: тип",IF(OR(NOT(ISNUMBER(J51)),NOT(ISNUMBER(K51))),"Ошибка: нет суммы",IF(OR(J51&lt;0,K51&lt;0,K51&gt;J51,ABS(J51-ROUND(J51,2))&gt;0.0000001,ABS(K51-ROUND(K51,2))&gt;0.0000001),"Ошибка: суммы",IF(AND(H51&lt;&gt;"",NOT(ISNUMBER(H51))),"Ошибка: срок",IF(OR(AND(D51="Поступление",M51&lt;&gt;"Входящий платёж"),AND(D51="Выплата",M51&lt;&gt;"Не рассмотрено",M51&lt;&gt;"Коллегия одобрила",M51&lt;&gt;"Проверено к оплате")),"Ошибка: согласование",IF(L51=0,"Закрыто",IF(NOT(ISNUMBER(I51)),"Ошибка: нет даты",IF(OR(I51&lt;'Сверка'!$D$4,I51&lt;&gt;INT(I51)),"Ошибка: обновите дату","В прогнозе")))))))))))</x:f>
      </x:c>
      <x:c r="Q51" s="25" t="n">
        <x:f>IF(ISERROR(P51),1,IF(OR(P51="В прогнозе",P51="Закрыто",P51=""),0,1))</x:f>
        <x:v>0</x:v>
      </x:c>
    </x:row>
    <x:row r="52" ht="24" customHeight="1">
      <x:c r="C52" s="7"/>
      <x:c r="D52" s="7"/>
      <x:c r="E52" s="7"/>
      <x:c r="F52" s="7"/>
      <x:c r="G52" s="7"/>
      <x:c r="H52" s="8"/>
      <x:c r="I52" s="8"/>
      <x:c r="J52" s="26"/>
      <x:c r="K52" s="26"/>
      <x:c r="L52" s="27" t="str">
        <x:f>IF(COUNTA(C52:K52)+COUNTA(M52:O52)=0,"",IF(AND(ISNUMBER(J52),ISNUMBER(K52),J52&gt;=0,K52&gt;=0,K52&lt;=J52),ROUND(J52-K52,2),""))</x:f>
      </x:c>
      <x:c r="M52" s="7"/>
      <x:c r="N52" s="7"/>
      <x:c r="O52" s="7"/>
      <x:c r="P52" s="2" t="str">
        <x:f>IF(COUNTA(C52:K52)+COUNTA(M52:O52)=0,"",IF(OR(C52="",E52="",F52="",G52="",N52=""),"Ошибка: заполните поля",IF(COUNTIFS($C$10:$C$109,C52)&gt;1,"Ошибка: повтор ID",IF(AND(D52&lt;&gt;"Поступление",D52&lt;&gt;"Выплата"),"Ошибка: тип",IF(OR(NOT(ISNUMBER(J52)),NOT(ISNUMBER(K52))),"Ошибка: нет суммы",IF(OR(J52&lt;0,K52&lt;0,K52&gt;J52,ABS(J52-ROUND(J52,2))&gt;0.0000001,ABS(K52-ROUND(K52,2))&gt;0.0000001),"Ошибка: суммы",IF(AND(H52&lt;&gt;"",NOT(ISNUMBER(H52))),"Ошибка: срок",IF(OR(AND(D52="Поступление",M52&lt;&gt;"Входящий платёж"),AND(D52="Выплата",M52&lt;&gt;"Не рассмотрено",M52&lt;&gt;"Коллегия одобрила",M52&lt;&gt;"Проверено к оплате")),"Ошибка: согласование",IF(L52=0,"Закрыто",IF(NOT(ISNUMBER(I52)),"Ошибка: нет даты",IF(OR(I52&lt;'Сверка'!$D$4,I52&lt;&gt;INT(I52)),"Ошибка: обновите дату","В прогнозе")))))))))))</x:f>
      </x:c>
      <x:c r="Q52" s="25" t="n">
        <x:f>IF(ISERROR(P52),1,IF(OR(P52="В прогнозе",P52="Закрыто",P52=""),0,1))</x:f>
        <x:v>0</x:v>
      </x:c>
    </x:row>
    <x:row r="53" ht="24" customHeight="1">
      <x:c r="C53" s="7"/>
      <x:c r="D53" s="7"/>
      <x:c r="E53" s="7"/>
      <x:c r="F53" s="7"/>
      <x:c r="G53" s="7"/>
      <x:c r="H53" s="8"/>
      <x:c r="I53" s="8"/>
      <x:c r="J53" s="26"/>
      <x:c r="K53" s="26"/>
      <x:c r="L53" s="27" t="str">
        <x:f>IF(COUNTA(C53:K53)+COUNTA(M53:O53)=0,"",IF(AND(ISNUMBER(J53),ISNUMBER(K53),J53&gt;=0,K53&gt;=0,K53&lt;=J53),ROUND(J53-K53,2),""))</x:f>
      </x:c>
      <x:c r="M53" s="7"/>
      <x:c r="N53" s="7"/>
      <x:c r="O53" s="7"/>
      <x:c r="P53" s="2" t="str">
        <x:f>IF(COUNTA(C53:K53)+COUNTA(M53:O53)=0,"",IF(OR(C53="",E53="",F53="",G53="",N53=""),"Ошибка: заполните поля",IF(COUNTIFS($C$10:$C$109,C53)&gt;1,"Ошибка: повтор ID",IF(AND(D53&lt;&gt;"Поступление",D53&lt;&gt;"Выплата"),"Ошибка: тип",IF(OR(NOT(ISNUMBER(J53)),NOT(ISNUMBER(K53))),"Ошибка: нет суммы",IF(OR(J53&lt;0,K53&lt;0,K53&gt;J53,ABS(J53-ROUND(J53,2))&gt;0.0000001,ABS(K53-ROUND(K53,2))&gt;0.0000001),"Ошибка: суммы",IF(AND(H53&lt;&gt;"",NOT(ISNUMBER(H53))),"Ошибка: срок",IF(OR(AND(D53="Поступление",M53&lt;&gt;"Входящий платёж"),AND(D53="Выплата",M53&lt;&gt;"Не рассмотрено",M53&lt;&gt;"Коллегия одобрила",M53&lt;&gt;"Проверено к оплате")),"Ошибка: согласование",IF(L53=0,"Закрыто",IF(NOT(ISNUMBER(I53)),"Ошибка: нет даты",IF(OR(I53&lt;'Сверка'!$D$4,I53&lt;&gt;INT(I53)),"Ошибка: обновите дату","В прогнозе")))))))))))</x:f>
      </x:c>
      <x:c r="Q53" s="25" t="n">
        <x:f>IF(ISERROR(P53),1,IF(OR(P53="В прогнозе",P53="Закрыто",P53=""),0,1))</x:f>
        <x:v>0</x:v>
      </x:c>
    </x:row>
    <x:row r="54" ht="24" customHeight="1">
      <x:c r="C54" s="7"/>
      <x:c r="D54" s="7"/>
      <x:c r="E54" s="7"/>
      <x:c r="F54" s="7"/>
      <x:c r="G54" s="7"/>
      <x:c r="H54" s="8"/>
      <x:c r="I54" s="8"/>
      <x:c r="J54" s="26"/>
      <x:c r="K54" s="26"/>
      <x:c r="L54" s="27" t="str">
        <x:f>IF(COUNTA(C54:K54)+COUNTA(M54:O54)=0,"",IF(AND(ISNUMBER(J54),ISNUMBER(K54),J54&gt;=0,K54&gt;=0,K54&lt;=J54),ROUND(J54-K54,2),""))</x:f>
      </x:c>
      <x:c r="M54" s="7"/>
      <x:c r="N54" s="7"/>
      <x:c r="O54" s="7"/>
      <x:c r="P54" s="2" t="str">
        <x:f>IF(COUNTA(C54:K54)+COUNTA(M54:O54)=0,"",IF(OR(C54="",E54="",F54="",G54="",N54=""),"Ошибка: заполните поля",IF(COUNTIFS($C$10:$C$109,C54)&gt;1,"Ошибка: повтор ID",IF(AND(D54&lt;&gt;"Поступление",D54&lt;&gt;"Выплата"),"Ошибка: тип",IF(OR(NOT(ISNUMBER(J54)),NOT(ISNUMBER(K54))),"Ошибка: нет суммы",IF(OR(J54&lt;0,K54&lt;0,K54&gt;J54,ABS(J54-ROUND(J54,2))&gt;0.0000001,ABS(K54-ROUND(K54,2))&gt;0.0000001),"Ошибка: суммы",IF(AND(H54&lt;&gt;"",NOT(ISNUMBER(H54))),"Ошибка: срок",IF(OR(AND(D54="Поступление",M54&lt;&gt;"Входящий платёж"),AND(D54="Выплата",M54&lt;&gt;"Не рассмотрено",M54&lt;&gt;"Коллегия одобрила",M54&lt;&gt;"Проверено к оплате")),"Ошибка: согласование",IF(L54=0,"Закрыто",IF(NOT(ISNUMBER(I54)),"Ошибка: нет даты",IF(OR(I54&lt;'Сверка'!$D$4,I54&lt;&gt;INT(I54)),"Ошибка: обновите дату","В прогнозе")))))))))))</x:f>
      </x:c>
      <x:c r="Q54" s="25" t="n">
        <x:f>IF(ISERROR(P54),1,IF(OR(P54="В прогнозе",P54="Закрыто",P54=""),0,1))</x:f>
        <x:v>0</x:v>
      </x:c>
    </x:row>
    <x:row r="55" ht="24" customHeight="1">
      <x:c r="C55" s="7"/>
      <x:c r="D55" s="7"/>
      <x:c r="E55" s="7"/>
      <x:c r="F55" s="7"/>
      <x:c r="G55" s="7"/>
      <x:c r="H55" s="8"/>
      <x:c r="I55" s="8"/>
      <x:c r="J55" s="26"/>
      <x:c r="K55" s="26"/>
      <x:c r="L55" s="27" t="str">
        <x:f>IF(COUNTA(C55:K55)+COUNTA(M55:O55)=0,"",IF(AND(ISNUMBER(J55),ISNUMBER(K55),J55&gt;=0,K55&gt;=0,K55&lt;=J55),ROUND(J55-K55,2),""))</x:f>
      </x:c>
      <x:c r="M55" s="7"/>
      <x:c r="N55" s="7"/>
      <x:c r="O55" s="7"/>
      <x:c r="P55" s="2" t="str">
        <x:f>IF(COUNTA(C55:K55)+COUNTA(M55:O55)=0,"",IF(OR(C55="",E55="",F55="",G55="",N55=""),"Ошибка: заполните поля",IF(COUNTIFS($C$10:$C$109,C55)&gt;1,"Ошибка: повтор ID",IF(AND(D55&lt;&gt;"Поступление",D55&lt;&gt;"Выплата"),"Ошибка: тип",IF(OR(NOT(ISNUMBER(J55)),NOT(ISNUMBER(K55))),"Ошибка: нет суммы",IF(OR(J55&lt;0,K55&lt;0,K55&gt;J55,ABS(J55-ROUND(J55,2))&gt;0.0000001,ABS(K55-ROUND(K55,2))&gt;0.0000001),"Ошибка: суммы",IF(AND(H55&lt;&gt;"",NOT(ISNUMBER(H55))),"Ошибка: срок",IF(OR(AND(D55="Поступление",M55&lt;&gt;"Входящий платёж"),AND(D55="Выплата",M55&lt;&gt;"Не рассмотрено",M55&lt;&gt;"Коллегия одобрила",M55&lt;&gt;"Проверено к оплате")),"Ошибка: согласование",IF(L55=0,"Закрыто",IF(NOT(ISNUMBER(I55)),"Ошибка: нет даты",IF(OR(I55&lt;'Сверка'!$D$4,I55&lt;&gt;INT(I55)),"Ошибка: обновите дату","В прогнозе")))))))))))</x:f>
      </x:c>
      <x:c r="Q55" s="25" t="n">
        <x:f>IF(ISERROR(P55),1,IF(OR(P55="В прогнозе",P55="Закрыто",P55=""),0,1))</x:f>
        <x:v>0</x:v>
      </x:c>
    </x:row>
    <x:row r="56" ht="24" customHeight="1">
      <x:c r="C56" s="7"/>
      <x:c r="D56" s="7"/>
      <x:c r="E56" s="7"/>
      <x:c r="F56" s="7"/>
      <x:c r="G56" s="7"/>
      <x:c r="H56" s="8"/>
      <x:c r="I56" s="8"/>
      <x:c r="J56" s="26"/>
      <x:c r="K56" s="26"/>
      <x:c r="L56" s="27" t="str">
        <x:f>IF(COUNTA(C56:K56)+COUNTA(M56:O56)=0,"",IF(AND(ISNUMBER(J56),ISNUMBER(K56),J56&gt;=0,K56&gt;=0,K56&lt;=J56),ROUND(J56-K56,2),""))</x:f>
      </x:c>
      <x:c r="M56" s="7"/>
      <x:c r="N56" s="7"/>
      <x:c r="O56" s="7"/>
      <x:c r="P56" s="2" t="str">
        <x:f>IF(COUNTA(C56:K56)+COUNTA(M56:O56)=0,"",IF(OR(C56="",E56="",F56="",G56="",N56=""),"Ошибка: заполните поля",IF(COUNTIFS($C$10:$C$109,C56)&gt;1,"Ошибка: повтор ID",IF(AND(D56&lt;&gt;"Поступление",D56&lt;&gt;"Выплата"),"Ошибка: тип",IF(OR(NOT(ISNUMBER(J56)),NOT(ISNUMBER(K56))),"Ошибка: нет суммы",IF(OR(J56&lt;0,K56&lt;0,K56&gt;J56,ABS(J56-ROUND(J56,2))&gt;0.0000001,ABS(K56-ROUND(K56,2))&gt;0.0000001),"Ошибка: суммы",IF(AND(H56&lt;&gt;"",NOT(ISNUMBER(H56))),"Ошибка: срок",IF(OR(AND(D56="Поступление",M56&lt;&gt;"Входящий платёж"),AND(D56="Выплата",M56&lt;&gt;"Не рассмотрено",M56&lt;&gt;"Коллегия одобрила",M56&lt;&gt;"Проверено к оплате")),"Ошибка: согласование",IF(L56=0,"Закрыто",IF(NOT(ISNUMBER(I56)),"Ошибка: нет даты",IF(OR(I56&lt;'Сверка'!$D$4,I56&lt;&gt;INT(I56)),"Ошибка: обновите дату","В прогнозе")))))))))))</x:f>
      </x:c>
      <x:c r="Q56" s="25" t="n">
        <x:f>IF(ISERROR(P56),1,IF(OR(P56="В прогнозе",P56="Закрыто",P56=""),0,1))</x:f>
        <x:v>0</x:v>
      </x:c>
    </x:row>
    <x:row r="57" ht="24" customHeight="1">
      <x:c r="C57" s="7"/>
      <x:c r="D57" s="7"/>
      <x:c r="E57" s="7"/>
      <x:c r="F57" s="7"/>
      <x:c r="G57" s="7"/>
      <x:c r="H57" s="8"/>
      <x:c r="I57" s="8"/>
      <x:c r="J57" s="26"/>
      <x:c r="K57" s="26"/>
      <x:c r="L57" s="27" t="str">
        <x:f>IF(COUNTA(C57:K57)+COUNTA(M57:O57)=0,"",IF(AND(ISNUMBER(J57),ISNUMBER(K57),J57&gt;=0,K57&gt;=0,K57&lt;=J57),ROUND(J57-K57,2),""))</x:f>
      </x:c>
      <x:c r="M57" s="7"/>
      <x:c r="N57" s="7"/>
      <x:c r="O57" s="7"/>
      <x:c r="P57" s="2" t="str">
        <x:f>IF(COUNTA(C57:K57)+COUNTA(M57:O57)=0,"",IF(OR(C57="",E57="",F57="",G57="",N57=""),"Ошибка: заполните поля",IF(COUNTIFS($C$10:$C$109,C57)&gt;1,"Ошибка: повтор ID",IF(AND(D57&lt;&gt;"Поступление",D57&lt;&gt;"Выплата"),"Ошибка: тип",IF(OR(NOT(ISNUMBER(J57)),NOT(ISNUMBER(K57))),"Ошибка: нет суммы",IF(OR(J57&lt;0,K57&lt;0,K57&gt;J57,ABS(J57-ROUND(J57,2))&gt;0.0000001,ABS(K57-ROUND(K57,2))&gt;0.0000001),"Ошибка: суммы",IF(AND(H57&lt;&gt;"",NOT(ISNUMBER(H57))),"Ошибка: срок",IF(OR(AND(D57="Поступление",M57&lt;&gt;"Входящий платёж"),AND(D57="Выплата",M57&lt;&gt;"Не рассмотрено",M57&lt;&gt;"Коллегия одобрила",M57&lt;&gt;"Проверено к оплате")),"Ошибка: согласование",IF(L57=0,"Закрыто",IF(NOT(ISNUMBER(I57)),"Ошибка: нет даты",IF(OR(I57&lt;'Сверка'!$D$4,I57&lt;&gt;INT(I57)),"Ошибка: обновите дату","В прогнозе")))))))))))</x:f>
      </x:c>
      <x:c r="Q57" s="25" t="n">
        <x:f>IF(ISERROR(P57),1,IF(OR(P57="В прогнозе",P57="Закрыто",P57=""),0,1))</x:f>
        <x:v>0</x:v>
      </x:c>
    </x:row>
    <x:row r="58" ht="24" customHeight="1">
      <x:c r="C58" s="7"/>
      <x:c r="D58" s="7"/>
      <x:c r="E58" s="7"/>
      <x:c r="F58" s="7"/>
      <x:c r="G58" s="7"/>
      <x:c r="H58" s="8"/>
      <x:c r="I58" s="8"/>
      <x:c r="J58" s="26"/>
      <x:c r="K58" s="26"/>
      <x:c r="L58" s="27" t="str">
        <x:f>IF(COUNTA(C58:K58)+COUNTA(M58:O58)=0,"",IF(AND(ISNUMBER(J58),ISNUMBER(K58),J58&gt;=0,K58&gt;=0,K58&lt;=J58),ROUND(J58-K58,2),""))</x:f>
      </x:c>
      <x:c r="M58" s="7"/>
      <x:c r="N58" s="7"/>
      <x:c r="O58" s="7"/>
      <x:c r="P58" s="2" t="str">
        <x:f>IF(COUNTA(C58:K58)+COUNTA(M58:O58)=0,"",IF(OR(C58="",E58="",F58="",G58="",N58=""),"Ошибка: заполните поля",IF(COUNTIFS($C$10:$C$109,C58)&gt;1,"Ошибка: повтор ID",IF(AND(D58&lt;&gt;"Поступление",D58&lt;&gt;"Выплата"),"Ошибка: тип",IF(OR(NOT(ISNUMBER(J58)),NOT(ISNUMBER(K58))),"Ошибка: нет суммы",IF(OR(J58&lt;0,K58&lt;0,K58&gt;J58,ABS(J58-ROUND(J58,2))&gt;0.0000001,ABS(K58-ROUND(K58,2))&gt;0.0000001),"Ошибка: суммы",IF(AND(H58&lt;&gt;"",NOT(ISNUMBER(H58))),"Ошибка: срок",IF(OR(AND(D58="Поступление",M58&lt;&gt;"Входящий платёж"),AND(D58="Выплата",M58&lt;&gt;"Не рассмотрено",M58&lt;&gt;"Коллегия одобрила",M58&lt;&gt;"Проверено к оплате")),"Ошибка: согласование",IF(L58=0,"Закрыто",IF(NOT(ISNUMBER(I58)),"Ошибка: нет даты",IF(OR(I58&lt;'Сверка'!$D$4,I58&lt;&gt;INT(I58)),"Ошибка: обновите дату","В прогнозе")))))))))))</x:f>
      </x:c>
      <x:c r="Q58" s="25" t="n">
        <x:f>IF(ISERROR(P58),1,IF(OR(P58="В прогнозе",P58="Закрыто",P58=""),0,1))</x:f>
        <x:v>0</x:v>
      </x:c>
    </x:row>
    <x:row r="59" ht="24" customHeight="1">
      <x:c r="C59" s="7"/>
      <x:c r="D59" s="7"/>
      <x:c r="E59" s="7"/>
      <x:c r="F59" s="7"/>
      <x:c r="G59" s="7"/>
      <x:c r="H59" s="8"/>
      <x:c r="I59" s="8"/>
      <x:c r="J59" s="26"/>
      <x:c r="K59" s="26"/>
      <x:c r="L59" s="27" t="str">
        <x:f>IF(COUNTA(C59:K59)+COUNTA(M59:O59)=0,"",IF(AND(ISNUMBER(J59),ISNUMBER(K59),J59&gt;=0,K59&gt;=0,K59&lt;=J59),ROUND(J59-K59,2),""))</x:f>
      </x:c>
      <x:c r="M59" s="7"/>
      <x:c r="N59" s="7"/>
      <x:c r="O59" s="7"/>
      <x:c r="P59" s="2" t="str">
        <x:f>IF(COUNTA(C59:K59)+COUNTA(M59:O59)=0,"",IF(OR(C59="",E59="",F59="",G59="",N59=""),"Ошибка: заполните поля",IF(COUNTIFS($C$10:$C$109,C59)&gt;1,"Ошибка: повтор ID",IF(AND(D59&lt;&gt;"Поступление",D59&lt;&gt;"Выплата"),"Ошибка: тип",IF(OR(NOT(ISNUMBER(J59)),NOT(ISNUMBER(K59))),"Ошибка: нет суммы",IF(OR(J59&lt;0,K59&lt;0,K59&gt;J59,ABS(J59-ROUND(J59,2))&gt;0.0000001,ABS(K59-ROUND(K59,2))&gt;0.0000001),"Ошибка: суммы",IF(AND(H59&lt;&gt;"",NOT(ISNUMBER(H59))),"Ошибка: срок",IF(OR(AND(D59="Поступление",M59&lt;&gt;"Входящий платёж"),AND(D59="Выплата",M59&lt;&gt;"Не рассмотрено",M59&lt;&gt;"Коллегия одобрила",M59&lt;&gt;"Проверено к оплате")),"Ошибка: согласование",IF(L59=0,"Закрыто",IF(NOT(ISNUMBER(I59)),"Ошибка: нет даты",IF(OR(I59&lt;'Сверка'!$D$4,I59&lt;&gt;INT(I59)),"Ошибка: обновите дату","В прогнозе")))))))))))</x:f>
      </x:c>
      <x:c r="Q59" s="25" t="n">
        <x:f>IF(ISERROR(P59),1,IF(OR(P59="В прогнозе",P59="Закрыто",P59=""),0,1))</x:f>
        <x:v>0</x:v>
      </x:c>
    </x:row>
    <x:row r="60" ht="24" customHeight="1">
      <x:c r="C60" s="7"/>
      <x:c r="D60" s="7"/>
      <x:c r="E60" s="7"/>
      <x:c r="F60" s="7"/>
      <x:c r="G60" s="7"/>
      <x:c r="H60" s="8"/>
      <x:c r="I60" s="8"/>
      <x:c r="J60" s="26"/>
      <x:c r="K60" s="26"/>
      <x:c r="L60" s="27" t="str">
        <x:f>IF(COUNTA(C60:K60)+COUNTA(M60:O60)=0,"",IF(AND(ISNUMBER(J60),ISNUMBER(K60),J60&gt;=0,K60&gt;=0,K60&lt;=J60),ROUND(J60-K60,2),""))</x:f>
      </x:c>
      <x:c r="M60" s="7"/>
      <x:c r="N60" s="7"/>
      <x:c r="O60" s="7"/>
      <x:c r="P60" s="2" t="str">
        <x:f>IF(COUNTA(C60:K60)+COUNTA(M60:O60)=0,"",IF(OR(C60="",E60="",F60="",G60="",N60=""),"Ошибка: заполните поля",IF(COUNTIFS($C$10:$C$109,C60)&gt;1,"Ошибка: повтор ID",IF(AND(D60&lt;&gt;"Поступление",D60&lt;&gt;"Выплата"),"Ошибка: тип",IF(OR(NOT(ISNUMBER(J60)),NOT(ISNUMBER(K60))),"Ошибка: нет суммы",IF(OR(J60&lt;0,K60&lt;0,K60&gt;J60,ABS(J60-ROUND(J60,2))&gt;0.0000001,ABS(K60-ROUND(K60,2))&gt;0.0000001),"Ошибка: суммы",IF(AND(H60&lt;&gt;"",NOT(ISNUMBER(H60))),"Ошибка: срок",IF(OR(AND(D60="Поступление",M60&lt;&gt;"Входящий платёж"),AND(D60="Выплата",M60&lt;&gt;"Не рассмотрено",M60&lt;&gt;"Коллегия одобрила",M60&lt;&gt;"Проверено к оплате")),"Ошибка: согласование",IF(L60=0,"Закрыто",IF(NOT(ISNUMBER(I60)),"Ошибка: нет даты",IF(OR(I60&lt;'Сверка'!$D$4,I60&lt;&gt;INT(I60)),"Ошибка: обновите дату","В прогнозе")))))))))))</x:f>
      </x:c>
      <x:c r="Q60" s="25" t="n">
        <x:f>IF(ISERROR(P60),1,IF(OR(P60="В прогнозе",P60="Закрыто",P60=""),0,1))</x:f>
        <x:v>0</x:v>
      </x:c>
    </x:row>
    <x:row r="61" ht="24" customHeight="1">
      <x:c r="C61" s="7"/>
      <x:c r="D61" s="7"/>
      <x:c r="E61" s="7"/>
      <x:c r="F61" s="7"/>
      <x:c r="G61" s="7"/>
      <x:c r="H61" s="8"/>
      <x:c r="I61" s="8"/>
      <x:c r="J61" s="26"/>
      <x:c r="K61" s="26"/>
      <x:c r="L61" s="27" t="str">
        <x:f>IF(COUNTA(C61:K61)+COUNTA(M61:O61)=0,"",IF(AND(ISNUMBER(J61),ISNUMBER(K61),J61&gt;=0,K61&gt;=0,K61&lt;=J61),ROUND(J61-K61,2),""))</x:f>
      </x:c>
      <x:c r="M61" s="7"/>
      <x:c r="N61" s="7"/>
      <x:c r="O61" s="7"/>
      <x:c r="P61" s="2" t="str">
        <x:f>IF(COUNTA(C61:K61)+COUNTA(M61:O61)=0,"",IF(OR(C61="",E61="",F61="",G61="",N61=""),"Ошибка: заполните поля",IF(COUNTIFS($C$10:$C$109,C61)&gt;1,"Ошибка: повтор ID",IF(AND(D61&lt;&gt;"Поступление",D61&lt;&gt;"Выплата"),"Ошибка: тип",IF(OR(NOT(ISNUMBER(J61)),NOT(ISNUMBER(K61))),"Ошибка: нет суммы",IF(OR(J61&lt;0,K61&lt;0,K61&gt;J61,ABS(J61-ROUND(J61,2))&gt;0.0000001,ABS(K61-ROUND(K61,2))&gt;0.0000001),"Ошибка: суммы",IF(AND(H61&lt;&gt;"",NOT(ISNUMBER(H61))),"Ошибка: срок",IF(OR(AND(D61="Поступление",M61&lt;&gt;"Входящий платёж"),AND(D61="Выплата",M61&lt;&gt;"Не рассмотрено",M61&lt;&gt;"Коллегия одобрила",M61&lt;&gt;"Проверено к оплате")),"Ошибка: согласование",IF(L61=0,"Закрыто",IF(NOT(ISNUMBER(I61)),"Ошибка: нет даты",IF(OR(I61&lt;'Сверка'!$D$4,I61&lt;&gt;INT(I61)),"Ошибка: обновите дату","В прогнозе")))))))))))</x:f>
      </x:c>
      <x:c r="Q61" s="25" t="n">
        <x:f>IF(ISERROR(P61),1,IF(OR(P61="В прогнозе",P61="Закрыто",P61=""),0,1))</x:f>
        <x:v>0</x:v>
      </x:c>
    </x:row>
    <x:row r="62" ht="24" customHeight="1">
      <x:c r="C62" s="7"/>
      <x:c r="D62" s="7"/>
      <x:c r="E62" s="7"/>
      <x:c r="F62" s="7"/>
      <x:c r="G62" s="7"/>
      <x:c r="H62" s="8"/>
      <x:c r="I62" s="8"/>
      <x:c r="J62" s="26"/>
      <x:c r="K62" s="26"/>
      <x:c r="L62" s="27" t="str">
        <x:f>IF(COUNTA(C62:K62)+COUNTA(M62:O62)=0,"",IF(AND(ISNUMBER(J62),ISNUMBER(K62),J62&gt;=0,K62&gt;=0,K62&lt;=J62),ROUND(J62-K62,2),""))</x:f>
      </x:c>
      <x:c r="M62" s="7"/>
      <x:c r="N62" s="7"/>
      <x:c r="O62" s="7"/>
      <x:c r="P62" s="2" t="str">
        <x:f>IF(COUNTA(C62:K62)+COUNTA(M62:O62)=0,"",IF(OR(C62="",E62="",F62="",G62="",N62=""),"Ошибка: заполните поля",IF(COUNTIFS($C$10:$C$109,C62)&gt;1,"Ошибка: повтор ID",IF(AND(D62&lt;&gt;"Поступление",D62&lt;&gt;"Выплата"),"Ошибка: тип",IF(OR(NOT(ISNUMBER(J62)),NOT(ISNUMBER(K62))),"Ошибка: нет суммы",IF(OR(J62&lt;0,K62&lt;0,K62&gt;J62,ABS(J62-ROUND(J62,2))&gt;0.0000001,ABS(K62-ROUND(K62,2))&gt;0.0000001),"Ошибка: суммы",IF(AND(H62&lt;&gt;"",NOT(ISNUMBER(H62))),"Ошибка: срок",IF(OR(AND(D62="Поступление",M62&lt;&gt;"Входящий платёж"),AND(D62="Выплата",M62&lt;&gt;"Не рассмотрено",M62&lt;&gt;"Коллегия одобрила",M62&lt;&gt;"Проверено к оплате")),"Ошибка: согласование",IF(L62=0,"Закрыто",IF(NOT(ISNUMBER(I62)),"Ошибка: нет даты",IF(OR(I62&lt;'Сверка'!$D$4,I62&lt;&gt;INT(I62)),"Ошибка: обновите дату","В прогнозе")))))))))))</x:f>
      </x:c>
      <x:c r="Q62" s="25" t="n">
        <x:f>IF(ISERROR(P62),1,IF(OR(P62="В прогнозе",P62="Закрыто",P62=""),0,1))</x:f>
        <x:v>0</x:v>
      </x:c>
    </x:row>
    <x:row r="63" ht="24" customHeight="1">
      <x:c r="C63" s="7"/>
      <x:c r="D63" s="7"/>
      <x:c r="E63" s="7"/>
      <x:c r="F63" s="7"/>
      <x:c r="G63" s="7"/>
      <x:c r="H63" s="8"/>
      <x:c r="I63" s="8"/>
      <x:c r="J63" s="26"/>
      <x:c r="K63" s="26"/>
      <x:c r="L63" s="27" t="str">
        <x:f>IF(COUNTA(C63:K63)+COUNTA(M63:O63)=0,"",IF(AND(ISNUMBER(J63),ISNUMBER(K63),J63&gt;=0,K63&gt;=0,K63&lt;=J63),ROUND(J63-K63,2),""))</x:f>
      </x:c>
      <x:c r="M63" s="7"/>
      <x:c r="N63" s="7"/>
      <x:c r="O63" s="7"/>
      <x:c r="P63" s="2" t="str">
        <x:f>IF(COUNTA(C63:K63)+COUNTA(M63:O63)=0,"",IF(OR(C63="",E63="",F63="",G63="",N63=""),"Ошибка: заполните поля",IF(COUNTIFS($C$10:$C$109,C63)&gt;1,"Ошибка: повтор ID",IF(AND(D63&lt;&gt;"Поступление",D63&lt;&gt;"Выплата"),"Ошибка: тип",IF(OR(NOT(ISNUMBER(J63)),NOT(ISNUMBER(K63))),"Ошибка: нет суммы",IF(OR(J63&lt;0,K63&lt;0,K63&gt;J63,ABS(J63-ROUND(J63,2))&gt;0.0000001,ABS(K63-ROUND(K63,2))&gt;0.0000001),"Ошибка: суммы",IF(AND(H63&lt;&gt;"",NOT(ISNUMBER(H63))),"Ошибка: срок",IF(OR(AND(D63="Поступление",M63&lt;&gt;"Входящий платёж"),AND(D63="Выплата",M63&lt;&gt;"Не рассмотрено",M63&lt;&gt;"Коллегия одобрила",M63&lt;&gt;"Проверено к оплате")),"Ошибка: согласование",IF(L63=0,"Закрыто",IF(NOT(ISNUMBER(I63)),"Ошибка: нет даты",IF(OR(I63&lt;'Сверка'!$D$4,I63&lt;&gt;INT(I63)),"Ошибка: обновите дату","В прогнозе")))))))))))</x:f>
      </x:c>
      <x:c r="Q63" s="25" t="n">
        <x:f>IF(ISERROR(P63),1,IF(OR(P63="В прогнозе",P63="Закрыто",P63=""),0,1))</x:f>
        <x:v>0</x:v>
      </x:c>
    </x:row>
    <x:row r="64" ht="24" customHeight="1">
      <x:c r="C64" s="7"/>
      <x:c r="D64" s="7"/>
      <x:c r="E64" s="7"/>
      <x:c r="F64" s="7"/>
      <x:c r="G64" s="7"/>
      <x:c r="H64" s="8"/>
      <x:c r="I64" s="8"/>
      <x:c r="J64" s="26"/>
      <x:c r="K64" s="26"/>
      <x:c r="L64" s="27" t="str">
        <x:f>IF(COUNTA(C64:K64)+COUNTA(M64:O64)=0,"",IF(AND(ISNUMBER(J64),ISNUMBER(K64),J64&gt;=0,K64&gt;=0,K64&lt;=J64),ROUND(J64-K64,2),""))</x:f>
      </x:c>
      <x:c r="M64" s="7"/>
      <x:c r="N64" s="7"/>
      <x:c r="O64" s="7"/>
      <x:c r="P64" s="2" t="str">
        <x:f>IF(COUNTA(C64:K64)+COUNTA(M64:O64)=0,"",IF(OR(C64="",E64="",F64="",G64="",N64=""),"Ошибка: заполните поля",IF(COUNTIFS($C$10:$C$109,C64)&gt;1,"Ошибка: повтор ID",IF(AND(D64&lt;&gt;"Поступление",D64&lt;&gt;"Выплата"),"Ошибка: тип",IF(OR(NOT(ISNUMBER(J64)),NOT(ISNUMBER(K64))),"Ошибка: нет суммы",IF(OR(J64&lt;0,K64&lt;0,K64&gt;J64,ABS(J64-ROUND(J64,2))&gt;0.0000001,ABS(K64-ROUND(K64,2))&gt;0.0000001),"Ошибка: суммы",IF(AND(H64&lt;&gt;"",NOT(ISNUMBER(H64))),"Ошибка: срок",IF(OR(AND(D64="Поступление",M64&lt;&gt;"Входящий платёж"),AND(D64="Выплата",M64&lt;&gt;"Не рассмотрено",M64&lt;&gt;"Коллегия одобрила",M64&lt;&gt;"Проверено к оплате")),"Ошибка: согласование",IF(L64=0,"Закрыто",IF(NOT(ISNUMBER(I64)),"Ошибка: нет даты",IF(OR(I64&lt;'Сверка'!$D$4,I64&lt;&gt;INT(I64)),"Ошибка: обновите дату","В прогнозе")))))))))))</x:f>
      </x:c>
      <x:c r="Q64" s="25" t="n">
        <x:f>IF(ISERROR(P64),1,IF(OR(P64="В прогнозе",P64="Закрыто",P64=""),0,1))</x:f>
        <x:v>0</x:v>
      </x:c>
    </x:row>
    <x:row r="65" ht="24" customHeight="1">
      <x:c r="C65" s="7"/>
      <x:c r="D65" s="7"/>
      <x:c r="E65" s="7"/>
      <x:c r="F65" s="7"/>
      <x:c r="G65" s="7"/>
      <x:c r="H65" s="8"/>
      <x:c r="I65" s="8"/>
      <x:c r="J65" s="26"/>
      <x:c r="K65" s="26"/>
      <x:c r="L65" s="27" t="str">
        <x:f>IF(COUNTA(C65:K65)+COUNTA(M65:O65)=0,"",IF(AND(ISNUMBER(J65),ISNUMBER(K65),J65&gt;=0,K65&gt;=0,K65&lt;=J65),ROUND(J65-K65,2),""))</x:f>
      </x:c>
      <x:c r="M65" s="7"/>
      <x:c r="N65" s="7"/>
      <x:c r="O65" s="7"/>
      <x:c r="P65" s="2" t="str">
        <x:f>IF(COUNTA(C65:K65)+COUNTA(M65:O65)=0,"",IF(OR(C65="",E65="",F65="",G65="",N65=""),"Ошибка: заполните поля",IF(COUNTIFS($C$10:$C$109,C65)&gt;1,"Ошибка: повтор ID",IF(AND(D65&lt;&gt;"Поступление",D65&lt;&gt;"Выплата"),"Ошибка: тип",IF(OR(NOT(ISNUMBER(J65)),NOT(ISNUMBER(K65))),"Ошибка: нет суммы",IF(OR(J65&lt;0,K65&lt;0,K65&gt;J65,ABS(J65-ROUND(J65,2))&gt;0.0000001,ABS(K65-ROUND(K65,2))&gt;0.0000001),"Ошибка: суммы",IF(AND(H65&lt;&gt;"",NOT(ISNUMBER(H65))),"Ошибка: срок",IF(OR(AND(D65="Поступление",M65&lt;&gt;"Входящий платёж"),AND(D65="Выплата",M65&lt;&gt;"Не рассмотрено",M65&lt;&gt;"Коллегия одобрила",M65&lt;&gt;"Проверено к оплате")),"Ошибка: согласование",IF(L65=0,"Закрыто",IF(NOT(ISNUMBER(I65)),"Ошибка: нет даты",IF(OR(I65&lt;'Сверка'!$D$4,I65&lt;&gt;INT(I65)),"Ошибка: обновите дату","В прогнозе")))))))))))</x:f>
      </x:c>
      <x:c r="Q65" s="25" t="n">
        <x:f>IF(ISERROR(P65),1,IF(OR(P65="В прогнозе",P65="Закрыто",P65=""),0,1))</x:f>
        <x:v>0</x:v>
      </x:c>
    </x:row>
    <x:row r="66" ht="24" customHeight="1">
      <x:c r="C66" s="7"/>
      <x:c r="D66" s="7"/>
      <x:c r="E66" s="7"/>
      <x:c r="F66" s="7"/>
      <x:c r="G66" s="7"/>
      <x:c r="H66" s="8"/>
      <x:c r="I66" s="8"/>
      <x:c r="J66" s="26"/>
      <x:c r="K66" s="26"/>
      <x:c r="L66" s="27" t="str">
        <x:f>IF(COUNTA(C66:K66)+COUNTA(M66:O66)=0,"",IF(AND(ISNUMBER(J66),ISNUMBER(K66),J66&gt;=0,K66&gt;=0,K66&lt;=J66),ROUND(J66-K66,2),""))</x:f>
      </x:c>
      <x:c r="M66" s="7"/>
      <x:c r="N66" s="7"/>
      <x:c r="O66" s="7"/>
      <x:c r="P66" s="2" t="str">
        <x:f>IF(COUNTA(C66:K66)+COUNTA(M66:O66)=0,"",IF(OR(C66="",E66="",F66="",G66="",N66=""),"Ошибка: заполните поля",IF(COUNTIFS($C$10:$C$109,C66)&gt;1,"Ошибка: повтор ID",IF(AND(D66&lt;&gt;"Поступление",D66&lt;&gt;"Выплата"),"Ошибка: тип",IF(OR(NOT(ISNUMBER(J66)),NOT(ISNUMBER(K66))),"Ошибка: нет суммы",IF(OR(J66&lt;0,K66&lt;0,K66&gt;J66,ABS(J66-ROUND(J66,2))&gt;0.0000001,ABS(K66-ROUND(K66,2))&gt;0.0000001),"Ошибка: суммы",IF(AND(H66&lt;&gt;"",NOT(ISNUMBER(H66))),"Ошибка: срок",IF(OR(AND(D66="Поступление",M66&lt;&gt;"Входящий платёж"),AND(D66="Выплата",M66&lt;&gt;"Не рассмотрено",M66&lt;&gt;"Коллегия одобрила",M66&lt;&gt;"Проверено к оплате")),"Ошибка: согласование",IF(L66=0,"Закрыто",IF(NOT(ISNUMBER(I66)),"Ошибка: нет даты",IF(OR(I66&lt;'Сверка'!$D$4,I66&lt;&gt;INT(I66)),"Ошибка: обновите дату","В прогнозе")))))))))))</x:f>
      </x:c>
      <x:c r="Q66" s="25" t="n">
        <x:f>IF(ISERROR(P66),1,IF(OR(P66="В прогнозе",P66="Закрыто",P66=""),0,1))</x:f>
        <x:v>0</x:v>
      </x:c>
    </x:row>
    <x:row r="67" ht="24" customHeight="1">
      <x:c r="C67" s="7"/>
      <x:c r="D67" s="7"/>
      <x:c r="E67" s="7"/>
      <x:c r="F67" s="7"/>
      <x:c r="G67" s="7"/>
      <x:c r="H67" s="8"/>
      <x:c r="I67" s="8"/>
      <x:c r="J67" s="26"/>
      <x:c r="K67" s="26"/>
      <x:c r="L67" s="27" t="str">
        <x:f>IF(COUNTA(C67:K67)+COUNTA(M67:O67)=0,"",IF(AND(ISNUMBER(J67),ISNUMBER(K67),J67&gt;=0,K67&gt;=0,K67&lt;=J67),ROUND(J67-K67,2),""))</x:f>
      </x:c>
      <x:c r="M67" s="7"/>
      <x:c r="N67" s="7"/>
      <x:c r="O67" s="7"/>
      <x:c r="P67" s="2" t="str">
        <x:f>IF(COUNTA(C67:K67)+COUNTA(M67:O67)=0,"",IF(OR(C67="",E67="",F67="",G67="",N67=""),"Ошибка: заполните поля",IF(COUNTIFS($C$10:$C$109,C67)&gt;1,"Ошибка: повтор ID",IF(AND(D67&lt;&gt;"Поступление",D67&lt;&gt;"Выплата"),"Ошибка: тип",IF(OR(NOT(ISNUMBER(J67)),NOT(ISNUMBER(K67))),"Ошибка: нет суммы",IF(OR(J67&lt;0,K67&lt;0,K67&gt;J67,ABS(J67-ROUND(J67,2))&gt;0.0000001,ABS(K67-ROUND(K67,2))&gt;0.0000001),"Ошибка: суммы",IF(AND(H67&lt;&gt;"",NOT(ISNUMBER(H67))),"Ошибка: срок",IF(OR(AND(D67="Поступление",M67&lt;&gt;"Входящий платёж"),AND(D67="Выплата",M67&lt;&gt;"Не рассмотрено",M67&lt;&gt;"Коллегия одобрила",M67&lt;&gt;"Проверено к оплате")),"Ошибка: согласование",IF(L67=0,"Закрыто",IF(NOT(ISNUMBER(I67)),"Ошибка: нет даты",IF(OR(I67&lt;'Сверка'!$D$4,I67&lt;&gt;INT(I67)),"Ошибка: обновите дату","В прогнозе")))))))))))</x:f>
      </x:c>
      <x:c r="Q67" s="25" t="n">
        <x:f>IF(ISERROR(P67),1,IF(OR(P67="В прогнозе",P67="Закрыто",P67=""),0,1))</x:f>
        <x:v>0</x:v>
      </x:c>
    </x:row>
    <x:row r="68" ht="24" customHeight="1">
      <x:c r="C68" s="7"/>
      <x:c r="D68" s="7"/>
      <x:c r="E68" s="7"/>
      <x:c r="F68" s="7"/>
      <x:c r="G68" s="7"/>
      <x:c r="H68" s="8"/>
      <x:c r="I68" s="8"/>
      <x:c r="J68" s="26"/>
      <x:c r="K68" s="26"/>
      <x:c r="L68" s="27" t="str">
        <x:f>IF(COUNTA(C68:K68)+COUNTA(M68:O68)=0,"",IF(AND(ISNUMBER(J68),ISNUMBER(K68),J68&gt;=0,K68&gt;=0,K68&lt;=J68),ROUND(J68-K68,2),""))</x:f>
      </x:c>
      <x:c r="M68" s="7"/>
      <x:c r="N68" s="7"/>
      <x:c r="O68" s="7"/>
      <x:c r="P68" s="2" t="str">
        <x:f>IF(COUNTA(C68:K68)+COUNTA(M68:O68)=0,"",IF(OR(C68="",E68="",F68="",G68="",N68=""),"Ошибка: заполните поля",IF(COUNTIFS($C$10:$C$109,C68)&gt;1,"Ошибка: повтор ID",IF(AND(D68&lt;&gt;"Поступление",D68&lt;&gt;"Выплата"),"Ошибка: тип",IF(OR(NOT(ISNUMBER(J68)),NOT(ISNUMBER(K68))),"Ошибка: нет суммы",IF(OR(J68&lt;0,K68&lt;0,K68&gt;J68,ABS(J68-ROUND(J68,2))&gt;0.0000001,ABS(K68-ROUND(K68,2))&gt;0.0000001),"Ошибка: суммы",IF(AND(H68&lt;&gt;"",NOT(ISNUMBER(H68))),"Ошибка: срок",IF(OR(AND(D68="Поступление",M68&lt;&gt;"Входящий платёж"),AND(D68="Выплата",M68&lt;&gt;"Не рассмотрено",M68&lt;&gt;"Коллегия одобрила",M68&lt;&gt;"Проверено к оплате")),"Ошибка: согласование",IF(L68=0,"Закрыто",IF(NOT(ISNUMBER(I68)),"Ошибка: нет даты",IF(OR(I68&lt;'Сверка'!$D$4,I68&lt;&gt;INT(I68)),"Ошибка: обновите дату","В прогнозе")))))))))))</x:f>
      </x:c>
      <x:c r="Q68" s="25" t="n">
        <x:f>IF(ISERROR(P68),1,IF(OR(P68="В прогнозе",P68="Закрыто",P68=""),0,1))</x:f>
        <x:v>0</x:v>
      </x:c>
    </x:row>
    <x:row r="69" ht="24" customHeight="1">
      <x:c r="C69" s="7"/>
      <x:c r="D69" s="7"/>
      <x:c r="E69" s="7"/>
      <x:c r="F69" s="7"/>
      <x:c r="G69" s="7"/>
      <x:c r="H69" s="8"/>
      <x:c r="I69" s="8"/>
      <x:c r="J69" s="26"/>
      <x:c r="K69" s="26"/>
      <x:c r="L69" s="27" t="str">
        <x:f>IF(COUNTA(C69:K69)+COUNTA(M69:O69)=0,"",IF(AND(ISNUMBER(J69),ISNUMBER(K69),J69&gt;=0,K69&gt;=0,K69&lt;=J69),ROUND(J69-K69,2),""))</x:f>
      </x:c>
      <x:c r="M69" s="7"/>
      <x:c r="N69" s="7"/>
      <x:c r="O69" s="7"/>
      <x:c r="P69" s="2" t="str">
        <x:f>IF(COUNTA(C69:K69)+COUNTA(M69:O69)=0,"",IF(OR(C69="",E69="",F69="",G69="",N69=""),"Ошибка: заполните поля",IF(COUNTIFS($C$10:$C$109,C69)&gt;1,"Ошибка: повтор ID",IF(AND(D69&lt;&gt;"Поступление",D69&lt;&gt;"Выплата"),"Ошибка: тип",IF(OR(NOT(ISNUMBER(J69)),NOT(ISNUMBER(K69))),"Ошибка: нет суммы",IF(OR(J69&lt;0,K69&lt;0,K69&gt;J69,ABS(J69-ROUND(J69,2))&gt;0.0000001,ABS(K69-ROUND(K69,2))&gt;0.0000001),"Ошибка: суммы",IF(AND(H69&lt;&gt;"",NOT(ISNUMBER(H69))),"Ошибка: срок",IF(OR(AND(D69="Поступление",M69&lt;&gt;"Входящий платёж"),AND(D69="Выплата",M69&lt;&gt;"Не рассмотрено",M69&lt;&gt;"Коллегия одобрила",M69&lt;&gt;"Проверено к оплате")),"Ошибка: согласование",IF(L69=0,"Закрыто",IF(NOT(ISNUMBER(I69)),"Ошибка: нет даты",IF(OR(I69&lt;'Сверка'!$D$4,I69&lt;&gt;INT(I69)),"Ошибка: обновите дату","В прогнозе")))))))))))</x:f>
      </x:c>
      <x:c r="Q69" s="25" t="n">
        <x:f>IF(ISERROR(P69),1,IF(OR(P69="В прогнозе",P69="Закрыто",P69=""),0,1))</x:f>
        <x:v>0</x:v>
      </x:c>
    </x:row>
    <x:row r="70" ht="24" customHeight="1">
      <x:c r="C70" s="7"/>
      <x:c r="D70" s="7"/>
      <x:c r="E70" s="7"/>
      <x:c r="F70" s="7"/>
      <x:c r="G70" s="7"/>
      <x:c r="H70" s="8"/>
      <x:c r="I70" s="8"/>
      <x:c r="J70" s="26"/>
      <x:c r="K70" s="26"/>
      <x:c r="L70" s="27" t="str">
        <x:f>IF(COUNTA(C70:K70)+COUNTA(M70:O70)=0,"",IF(AND(ISNUMBER(J70),ISNUMBER(K70),J70&gt;=0,K70&gt;=0,K70&lt;=J70),ROUND(J70-K70,2),""))</x:f>
      </x:c>
      <x:c r="M70" s="7"/>
      <x:c r="N70" s="7"/>
      <x:c r="O70" s="7"/>
      <x:c r="P70" s="2" t="str">
        <x:f>IF(COUNTA(C70:K70)+COUNTA(M70:O70)=0,"",IF(OR(C70="",E70="",F70="",G70="",N70=""),"Ошибка: заполните поля",IF(COUNTIFS($C$10:$C$109,C70)&gt;1,"Ошибка: повтор ID",IF(AND(D70&lt;&gt;"Поступление",D70&lt;&gt;"Выплата"),"Ошибка: тип",IF(OR(NOT(ISNUMBER(J70)),NOT(ISNUMBER(K70))),"Ошибка: нет суммы",IF(OR(J70&lt;0,K70&lt;0,K70&gt;J70,ABS(J70-ROUND(J70,2))&gt;0.0000001,ABS(K70-ROUND(K70,2))&gt;0.0000001),"Ошибка: суммы",IF(AND(H70&lt;&gt;"",NOT(ISNUMBER(H70))),"Ошибка: срок",IF(OR(AND(D70="Поступление",M70&lt;&gt;"Входящий платёж"),AND(D70="Выплата",M70&lt;&gt;"Не рассмотрено",M70&lt;&gt;"Коллегия одобрила",M70&lt;&gt;"Проверено к оплате")),"Ошибка: согласование",IF(L70=0,"Закрыто",IF(NOT(ISNUMBER(I70)),"Ошибка: нет даты",IF(OR(I70&lt;'Сверка'!$D$4,I70&lt;&gt;INT(I70)),"Ошибка: обновите дату","В прогнозе")))))))))))</x:f>
      </x:c>
      <x:c r="Q70" s="25" t="n">
        <x:f>IF(ISERROR(P70),1,IF(OR(P70="В прогнозе",P70="Закрыто",P70=""),0,1))</x:f>
        <x:v>0</x:v>
      </x:c>
    </x:row>
    <x:row r="71" ht="24" customHeight="1">
      <x:c r="C71" s="7"/>
      <x:c r="D71" s="7"/>
      <x:c r="E71" s="7"/>
      <x:c r="F71" s="7"/>
      <x:c r="G71" s="7"/>
      <x:c r="H71" s="8"/>
      <x:c r="I71" s="8"/>
      <x:c r="J71" s="26"/>
      <x:c r="K71" s="26"/>
      <x:c r="L71" s="27" t="str">
        <x:f>IF(COUNTA(C71:K71)+COUNTA(M71:O71)=0,"",IF(AND(ISNUMBER(J71),ISNUMBER(K71),J71&gt;=0,K71&gt;=0,K71&lt;=J71),ROUND(J71-K71,2),""))</x:f>
      </x:c>
      <x:c r="M71" s="7"/>
      <x:c r="N71" s="7"/>
      <x:c r="O71" s="7"/>
      <x:c r="P71" s="2" t="str">
        <x:f>IF(COUNTA(C71:K71)+COUNTA(M71:O71)=0,"",IF(OR(C71="",E71="",F71="",G71="",N71=""),"Ошибка: заполните поля",IF(COUNTIFS($C$10:$C$109,C71)&gt;1,"Ошибка: повтор ID",IF(AND(D71&lt;&gt;"Поступление",D71&lt;&gt;"Выплата"),"Ошибка: тип",IF(OR(NOT(ISNUMBER(J71)),NOT(ISNUMBER(K71))),"Ошибка: нет суммы",IF(OR(J71&lt;0,K71&lt;0,K71&gt;J71,ABS(J71-ROUND(J71,2))&gt;0.0000001,ABS(K71-ROUND(K71,2))&gt;0.0000001),"Ошибка: суммы",IF(AND(H71&lt;&gt;"",NOT(ISNUMBER(H71))),"Ошибка: срок",IF(OR(AND(D71="Поступление",M71&lt;&gt;"Входящий платёж"),AND(D71="Выплата",M71&lt;&gt;"Не рассмотрено",M71&lt;&gt;"Коллегия одобрила",M71&lt;&gt;"Проверено к оплате")),"Ошибка: согласование",IF(L71=0,"Закрыто",IF(NOT(ISNUMBER(I71)),"Ошибка: нет даты",IF(OR(I71&lt;'Сверка'!$D$4,I71&lt;&gt;INT(I71)),"Ошибка: обновите дату","В прогнозе")))))))))))</x:f>
      </x:c>
      <x:c r="Q71" s="25" t="n">
        <x:f>IF(ISERROR(P71),1,IF(OR(P71="В прогнозе",P71="Закрыто",P71=""),0,1))</x:f>
        <x:v>0</x:v>
      </x:c>
    </x:row>
    <x:row r="72" ht="24" customHeight="1">
      <x:c r="C72" s="7"/>
      <x:c r="D72" s="7"/>
      <x:c r="E72" s="7"/>
      <x:c r="F72" s="7"/>
      <x:c r="G72" s="7"/>
      <x:c r="H72" s="8"/>
      <x:c r="I72" s="8"/>
      <x:c r="J72" s="26"/>
      <x:c r="K72" s="26"/>
      <x:c r="L72" s="27" t="str">
        <x:f>IF(COUNTA(C72:K72)+COUNTA(M72:O72)=0,"",IF(AND(ISNUMBER(J72),ISNUMBER(K72),J72&gt;=0,K72&gt;=0,K72&lt;=J72),ROUND(J72-K72,2),""))</x:f>
      </x:c>
      <x:c r="M72" s="7"/>
      <x:c r="N72" s="7"/>
      <x:c r="O72" s="7"/>
      <x:c r="P72" s="2" t="str">
        <x:f>IF(COUNTA(C72:K72)+COUNTA(M72:O72)=0,"",IF(OR(C72="",E72="",F72="",G72="",N72=""),"Ошибка: заполните поля",IF(COUNTIFS($C$10:$C$109,C72)&gt;1,"Ошибка: повтор ID",IF(AND(D72&lt;&gt;"Поступление",D72&lt;&gt;"Выплата"),"Ошибка: тип",IF(OR(NOT(ISNUMBER(J72)),NOT(ISNUMBER(K72))),"Ошибка: нет суммы",IF(OR(J72&lt;0,K72&lt;0,K72&gt;J72,ABS(J72-ROUND(J72,2))&gt;0.0000001,ABS(K72-ROUND(K72,2))&gt;0.0000001),"Ошибка: суммы",IF(AND(H72&lt;&gt;"",NOT(ISNUMBER(H72))),"Ошибка: срок",IF(OR(AND(D72="Поступление",M72&lt;&gt;"Входящий платёж"),AND(D72="Выплата",M72&lt;&gt;"Не рассмотрено",M72&lt;&gt;"Коллегия одобрила",M72&lt;&gt;"Проверено к оплате")),"Ошибка: согласование",IF(L72=0,"Закрыто",IF(NOT(ISNUMBER(I72)),"Ошибка: нет даты",IF(OR(I72&lt;'Сверка'!$D$4,I72&lt;&gt;INT(I72)),"Ошибка: обновите дату","В прогнозе")))))))))))</x:f>
      </x:c>
      <x:c r="Q72" s="25" t="n">
        <x:f>IF(ISERROR(P72),1,IF(OR(P72="В прогнозе",P72="Закрыто",P72=""),0,1))</x:f>
        <x:v>0</x:v>
      </x:c>
    </x:row>
    <x:row r="73" ht="24" customHeight="1">
      <x:c r="C73" s="7"/>
      <x:c r="D73" s="7"/>
      <x:c r="E73" s="7"/>
      <x:c r="F73" s="7"/>
      <x:c r="G73" s="7"/>
      <x:c r="H73" s="8"/>
      <x:c r="I73" s="8"/>
      <x:c r="J73" s="26"/>
      <x:c r="K73" s="26"/>
      <x:c r="L73" s="27" t="str">
        <x:f>IF(COUNTA(C73:K73)+COUNTA(M73:O73)=0,"",IF(AND(ISNUMBER(J73),ISNUMBER(K73),J73&gt;=0,K73&gt;=0,K73&lt;=J73),ROUND(J73-K73,2),""))</x:f>
      </x:c>
      <x:c r="M73" s="7"/>
      <x:c r="N73" s="7"/>
      <x:c r="O73" s="7"/>
      <x:c r="P73" s="2" t="str">
        <x:f>IF(COUNTA(C73:K73)+COUNTA(M73:O73)=0,"",IF(OR(C73="",E73="",F73="",G73="",N73=""),"Ошибка: заполните поля",IF(COUNTIFS($C$10:$C$109,C73)&gt;1,"Ошибка: повтор ID",IF(AND(D73&lt;&gt;"Поступление",D73&lt;&gt;"Выплата"),"Ошибка: тип",IF(OR(NOT(ISNUMBER(J73)),NOT(ISNUMBER(K73))),"Ошибка: нет суммы",IF(OR(J73&lt;0,K73&lt;0,K73&gt;J73,ABS(J73-ROUND(J73,2))&gt;0.0000001,ABS(K73-ROUND(K73,2))&gt;0.0000001),"Ошибка: суммы",IF(AND(H73&lt;&gt;"",NOT(ISNUMBER(H73))),"Ошибка: срок",IF(OR(AND(D73="Поступление",M73&lt;&gt;"Входящий платёж"),AND(D73="Выплата",M73&lt;&gt;"Не рассмотрено",M73&lt;&gt;"Коллегия одобрила",M73&lt;&gt;"Проверено к оплате")),"Ошибка: согласование",IF(L73=0,"Закрыто",IF(NOT(ISNUMBER(I73)),"Ошибка: нет даты",IF(OR(I73&lt;'Сверка'!$D$4,I73&lt;&gt;INT(I73)),"Ошибка: обновите дату","В прогнозе")))))))))))</x:f>
      </x:c>
      <x:c r="Q73" s="25" t="n">
        <x:f>IF(ISERROR(P73),1,IF(OR(P73="В прогнозе",P73="Закрыто",P73=""),0,1))</x:f>
        <x:v>0</x:v>
      </x:c>
    </x:row>
    <x:row r="74" ht="24" customHeight="1">
      <x:c r="C74" s="7"/>
      <x:c r="D74" s="7"/>
      <x:c r="E74" s="7"/>
      <x:c r="F74" s="7"/>
      <x:c r="G74" s="7"/>
      <x:c r="H74" s="8"/>
      <x:c r="I74" s="8"/>
      <x:c r="J74" s="26"/>
      <x:c r="K74" s="26"/>
      <x:c r="L74" s="27" t="str">
        <x:f>IF(COUNTA(C74:K74)+COUNTA(M74:O74)=0,"",IF(AND(ISNUMBER(J74),ISNUMBER(K74),J74&gt;=0,K74&gt;=0,K74&lt;=J74),ROUND(J74-K74,2),""))</x:f>
      </x:c>
      <x:c r="M74" s="7"/>
      <x:c r="N74" s="7"/>
      <x:c r="O74" s="7"/>
      <x:c r="P74" s="2" t="str">
        <x:f>IF(COUNTA(C74:K74)+COUNTA(M74:O74)=0,"",IF(OR(C74="",E74="",F74="",G74="",N74=""),"Ошибка: заполните поля",IF(COUNTIFS($C$10:$C$109,C74)&gt;1,"Ошибка: повтор ID",IF(AND(D74&lt;&gt;"Поступление",D74&lt;&gt;"Выплата"),"Ошибка: тип",IF(OR(NOT(ISNUMBER(J74)),NOT(ISNUMBER(K74))),"Ошибка: нет суммы",IF(OR(J74&lt;0,K74&lt;0,K74&gt;J74,ABS(J74-ROUND(J74,2))&gt;0.0000001,ABS(K74-ROUND(K74,2))&gt;0.0000001),"Ошибка: суммы",IF(AND(H74&lt;&gt;"",NOT(ISNUMBER(H74))),"Ошибка: срок",IF(OR(AND(D74="Поступление",M74&lt;&gt;"Входящий платёж"),AND(D74="Выплата",M74&lt;&gt;"Не рассмотрено",M74&lt;&gt;"Коллегия одобрила",M74&lt;&gt;"Проверено к оплате")),"Ошибка: согласование",IF(L74=0,"Закрыто",IF(NOT(ISNUMBER(I74)),"Ошибка: нет даты",IF(OR(I74&lt;'Сверка'!$D$4,I74&lt;&gt;INT(I74)),"Ошибка: обновите дату","В прогнозе")))))))))))</x:f>
      </x:c>
      <x:c r="Q74" s="25" t="n">
        <x:f>IF(ISERROR(P74),1,IF(OR(P74="В прогнозе",P74="Закрыто",P74=""),0,1))</x:f>
        <x:v>0</x:v>
      </x:c>
    </x:row>
    <x:row r="75" ht="24" customHeight="1">
      <x:c r="C75" s="7"/>
      <x:c r="D75" s="7"/>
      <x:c r="E75" s="7"/>
      <x:c r="F75" s="7"/>
      <x:c r="G75" s="7"/>
      <x:c r="H75" s="8"/>
      <x:c r="I75" s="8"/>
      <x:c r="J75" s="26"/>
      <x:c r="K75" s="26"/>
      <x:c r="L75" s="27" t="str">
        <x:f>IF(COUNTA(C75:K75)+COUNTA(M75:O75)=0,"",IF(AND(ISNUMBER(J75),ISNUMBER(K75),J75&gt;=0,K75&gt;=0,K75&lt;=J75),ROUND(J75-K75,2),""))</x:f>
      </x:c>
      <x:c r="M75" s="7"/>
      <x:c r="N75" s="7"/>
      <x:c r="O75" s="7"/>
      <x:c r="P75" s="2" t="str">
        <x:f>IF(COUNTA(C75:K75)+COUNTA(M75:O75)=0,"",IF(OR(C75="",E75="",F75="",G75="",N75=""),"Ошибка: заполните поля",IF(COUNTIFS($C$10:$C$109,C75)&gt;1,"Ошибка: повтор ID",IF(AND(D75&lt;&gt;"Поступление",D75&lt;&gt;"Выплата"),"Ошибка: тип",IF(OR(NOT(ISNUMBER(J75)),NOT(ISNUMBER(K75))),"Ошибка: нет суммы",IF(OR(J75&lt;0,K75&lt;0,K75&gt;J75,ABS(J75-ROUND(J75,2))&gt;0.0000001,ABS(K75-ROUND(K75,2))&gt;0.0000001),"Ошибка: суммы",IF(AND(H75&lt;&gt;"",NOT(ISNUMBER(H75))),"Ошибка: срок",IF(OR(AND(D75="Поступление",M75&lt;&gt;"Входящий платёж"),AND(D75="Выплата",M75&lt;&gt;"Не рассмотрено",M75&lt;&gt;"Коллегия одобрила",M75&lt;&gt;"Проверено к оплате")),"Ошибка: согласование",IF(L75=0,"Закрыто",IF(NOT(ISNUMBER(I75)),"Ошибка: нет даты",IF(OR(I75&lt;'Сверка'!$D$4,I75&lt;&gt;INT(I75)),"Ошибка: обновите дату","В прогнозе")))))))))))</x:f>
      </x:c>
      <x:c r="Q75" s="25" t="n">
        <x:f>IF(ISERROR(P75),1,IF(OR(P75="В прогнозе",P75="Закрыто",P75=""),0,1))</x:f>
        <x:v>0</x:v>
      </x:c>
    </x:row>
    <x:row r="76" ht="24" customHeight="1">
      <x:c r="C76" s="7"/>
      <x:c r="D76" s="7"/>
      <x:c r="E76" s="7"/>
      <x:c r="F76" s="7"/>
      <x:c r="G76" s="7"/>
      <x:c r="H76" s="8"/>
      <x:c r="I76" s="8"/>
      <x:c r="J76" s="26"/>
      <x:c r="K76" s="26"/>
      <x:c r="L76" s="27" t="str">
        <x:f>IF(COUNTA(C76:K76)+COUNTA(M76:O76)=0,"",IF(AND(ISNUMBER(J76),ISNUMBER(K76),J76&gt;=0,K76&gt;=0,K76&lt;=J76),ROUND(J76-K76,2),""))</x:f>
      </x:c>
      <x:c r="M76" s="7"/>
      <x:c r="N76" s="7"/>
      <x:c r="O76" s="7"/>
      <x:c r="P76" s="2" t="str">
        <x:f>IF(COUNTA(C76:K76)+COUNTA(M76:O76)=0,"",IF(OR(C76="",E76="",F76="",G76="",N76=""),"Ошибка: заполните поля",IF(COUNTIFS($C$10:$C$109,C76)&gt;1,"Ошибка: повтор ID",IF(AND(D76&lt;&gt;"Поступление",D76&lt;&gt;"Выплата"),"Ошибка: тип",IF(OR(NOT(ISNUMBER(J76)),NOT(ISNUMBER(K76))),"Ошибка: нет суммы",IF(OR(J76&lt;0,K76&lt;0,K76&gt;J76,ABS(J76-ROUND(J76,2))&gt;0.0000001,ABS(K76-ROUND(K76,2))&gt;0.0000001),"Ошибка: суммы",IF(AND(H76&lt;&gt;"",NOT(ISNUMBER(H76))),"Ошибка: срок",IF(OR(AND(D76="Поступление",M76&lt;&gt;"Входящий платёж"),AND(D76="Выплата",M76&lt;&gt;"Не рассмотрено",M76&lt;&gt;"Коллегия одобрила",M76&lt;&gt;"Проверено к оплате")),"Ошибка: согласование",IF(L76=0,"Закрыто",IF(NOT(ISNUMBER(I76)),"Ошибка: нет даты",IF(OR(I76&lt;'Сверка'!$D$4,I76&lt;&gt;INT(I76)),"Ошибка: обновите дату","В прогнозе")))))))))))</x:f>
      </x:c>
      <x:c r="Q76" s="25" t="n">
        <x:f>IF(ISERROR(P76),1,IF(OR(P76="В прогнозе",P76="Закрыто",P76=""),0,1))</x:f>
        <x:v>0</x:v>
      </x:c>
    </x:row>
    <x:row r="77" ht="24" customHeight="1">
      <x:c r="C77" s="7"/>
      <x:c r="D77" s="7"/>
      <x:c r="E77" s="7"/>
      <x:c r="F77" s="7"/>
      <x:c r="G77" s="7"/>
      <x:c r="H77" s="8"/>
      <x:c r="I77" s="8"/>
      <x:c r="J77" s="26"/>
      <x:c r="K77" s="26"/>
      <x:c r="L77" s="27" t="str">
        <x:f>IF(COUNTA(C77:K77)+COUNTA(M77:O77)=0,"",IF(AND(ISNUMBER(J77),ISNUMBER(K77),J77&gt;=0,K77&gt;=0,K77&lt;=J77),ROUND(J77-K77,2),""))</x:f>
      </x:c>
      <x:c r="M77" s="7"/>
      <x:c r="N77" s="7"/>
      <x:c r="O77" s="7"/>
      <x:c r="P77" s="2" t="str">
        <x:f>IF(COUNTA(C77:K77)+COUNTA(M77:O77)=0,"",IF(OR(C77="",E77="",F77="",G77="",N77=""),"Ошибка: заполните поля",IF(COUNTIFS($C$10:$C$109,C77)&gt;1,"Ошибка: повтор ID",IF(AND(D77&lt;&gt;"Поступление",D77&lt;&gt;"Выплата"),"Ошибка: тип",IF(OR(NOT(ISNUMBER(J77)),NOT(ISNUMBER(K77))),"Ошибка: нет суммы",IF(OR(J77&lt;0,K77&lt;0,K77&gt;J77,ABS(J77-ROUND(J77,2))&gt;0.0000001,ABS(K77-ROUND(K77,2))&gt;0.0000001),"Ошибка: суммы",IF(AND(H77&lt;&gt;"",NOT(ISNUMBER(H77))),"Ошибка: срок",IF(OR(AND(D77="Поступление",M77&lt;&gt;"Входящий платёж"),AND(D77="Выплата",M77&lt;&gt;"Не рассмотрено",M77&lt;&gt;"Коллегия одобрила",M77&lt;&gt;"Проверено к оплате")),"Ошибка: согласование",IF(L77=0,"Закрыто",IF(NOT(ISNUMBER(I77)),"Ошибка: нет даты",IF(OR(I77&lt;'Сверка'!$D$4,I77&lt;&gt;INT(I77)),"Ошибка: обновите дату","В прогнозе")))))))))))</x:f>
      </x:c>
      <x:c r="Q77" s="25" t="n">
        <x:f>IF(ISERROR(P77),1,IF(OR(P77="В прогнозе",P77="Закрыто",P77=""),0,1))</x:f>
        <x:v>0</x:v>
      </x:c>
    </x:row>
    <x:row r="78" ht="24" customHeight="1">
      <x:c r="C78" s="7"/>
      <x:c r="D78" s="7"/>
      <x:c r="E78" s="7"/>
      <x:c r="F78" s="7"/>
      <x:c r="G78" s="7"/>
      <x:c r="H78" s="8"/>
      <x:c r="I78" s="8"/>
      <x:c r="J78" s="26"/>
      <x:c r="K78" s="26"/>
      <x:c r="L78" s="27" t="str">
        <x:f>IF(COUNTA(C78:K78)+COUNTA(M78:O78)=0,"",IF(AND(ISNUMBER(J78),ISNUMBER(K78),J78&gt;=0,K78&gt;=0,K78&lt;=J78),ROUND(J78-K78,2),""))</x:f>
      </x:c>
      <x:c r="M78" s="7"/>
      <x:c r="N78" s="7"/>
      <x:c r="O78" s="7"/>
      <x:c r="P78" s="2" t="str">
        <x:f>IF(COUNTA(C78:K78)+COUNTA(M78:O78)=0,"",IF(OR(C78="",E78="",F78="",G78="",N78=""),"Ошибка: заполните поля",IF(COUNTIFS($C$10:$C$109,C78)&gt;1,"Ошибка: повтор ID",IF(AND(D78&lt;&gt;"Поступление",D78&lt;&gt;"Выплата"),"Ошибка: тип",IF(OR(NOT(ISNUMBER(J78)),NOT(ISNUMBER(K78))),"Ошибка: нет суммы",IF(OR(J78&lt;0,K78&lt;0,K78&gt;J78,ABS(J78-ROUND(J78,2))&gt;0.0000001,ABS(K78-ROUND(K78,2))&gt;0.0000001),"Ошибка: суммы",IF(AND(H78&lt;&gt;"",NOT(ISNUMBER(H78))),"Ошибка: срок",IF(OR(AND(D78="Поступление",M78&lt;&gt;"Входящий платёж"),AND(D78="Выплата",M78&lt;&gt;"Не рассмотрено",M78&lt;&gt;"Коллегия одобрила",M78&lt;&gt;"Проверено к оплате")),"Ошибка: согласование",IF(L78=0,"Закрыто",IF(NOT(ISNUMBER(I78)),"Ошибка: нет даты",IF(OR(I78&lt;'Сверка'!$D$4,I78&lt;&gt;INT(I78)),"Ошибка: обновите дату","В прогнозе")))))))))))</x:f>
      </x:c>
      <x:c r="Q78" s="25" t="n">
        <x:f>IF(ISERROR(P78),1,IF(OR(P78="В прогнозе",P78="Закрыто",P78=""),0,1))</x:f>
        <x:v>0</x:v>
      </x:c>
    </x:row>
    <x:row r="79" ht="24" customHeight="1">
      <x:c r="C79" s="7"/>
      <x:c r="D79" s="7"/>
      <x:c r="E79" s="7"/>
      <x:c r="F79" s="7"/>
      <x:c r="G79" s="7"/>
      <x:c r="H79" s="8"/>
      <x:c r="I79" s="8"/>
      <x:c r="J79" s="26"/>
      <x:c r="K79" s="26"/>
      <x:c r="L79" s="27" t="str">
        <x:f>IF(COUNTA(C79:K79)+COUNTA(M79:O79)=0,"",IF(AND(ISNUMBER(J79),ISNUMBER(K79),J79&gt;=0,K79&gt;=0,K79&lt;=J79),ROUND(J79-K79,2),""))</x:f>
      </x:c>
      <x:c r="M79" s="7"/>
      <x:c r="N79" s="7"/>
      <x:c r="O79" s="7"/>
      <x:c r="P79" s="2" t="str">
        <x:f>IF(COUNTA(C79:K79)+COUNTA(M79:O79)=0,"",IF(OR(C79="",E79="",F79="",G79="",N79=""),"Ошибка: заполните поля",IF(COUNTIFS($C$10:$C$109,C79)&gt;1,"Ошибка: повтор ID",IF(AND(D79&lt;&gt;"Поступление",D79&lt;&gt;"Выплата"),"Ошибка: тип",IF(OR(NOT(ISNUMBER(J79)),NOT(ISNUMBER(K79))),"Ошибка: нет суммы",IF(OR(J79&lt;0,K79&lt;0,K79&gt;J79,ABS(J79-ROUND(J79,2))&gt;0.0000001,ABS(K79-ROUND(K79,2))&gt;0.0000001),"Ошибка: суммы",IF(AND(H79&lt;&gt;"",NOT(ISNUMBER(H79))),"Ошибка: срок",IF(OR(AND(D79="Поступление",M79&lt;&gt;"Входящий платёж"),AND(D79="Выплата",M79&lt;&gt;"Не рассмотрено",M79&lt;&gt;"Коллегия одобрила",M79&lt;&gt;"Проверено к оплате")),"Ошибка: согласование",IF(L79=0,"Закрыто",IF(NOT(ISNUMBER(I79)),"Ошибка: нет даты",IF(OR(I79&lt;'Сверка'!$D$4,I79&lt;&gt;INT(I79)),"Ошибка: обновите дату","В прогнозе")))))))))))</x:f>
      </x:c>
      <x:c r="Q79" s="25" t="n">
        <x:f>IF(ISERROR(P79),1,IF(OR(P79="В прогнозе",P79="Закрыто",P79=""),0,1))</x:f>
        <x:v>0</x:v>
      </x:c>
    </x:row>
    <x:row r="80" ht="24" customHeight="1">
      <x:c r="C80" s="7"/>
      <x:c r="D80" s="7"/>
      <x:c r="E80" s="7"/>
      <x:c r="F80" s="7"/>
      <x:c r="G80" s="7"/>
      <x:c r="H80" s="8"/>
      <x:c r="I80" s="8"/>
      <x:c r="J80" s="26"/>
      <x:c r="K80" s="26"/>
      <x:c r="L80" s="27" t="str">
        <x:f>IF(COUNTA(C80:K80)+COUNTA(M80:O80)=0,"",IF(AND(ISNUMBER(J80),ISNUMBER(K80),J80&gt;=0,K80&gt;=0,K80&lt;=J80),ROUND(J80-K80,2),""))</x:f>
      </x:c>
      <x:c r="M80" s="7"/>
      <x:c r="N80" s="7"/>
      <x:c r="O80" s="7"/>
      <x:c r="P80" s="2" t="str">
        <x:f>IF(COUNTA(C80:K80)+COUNTA(M80:O80)=0,"",IF(OR(C80="",E80="",F80="",G80="",N80=""),"Ошибка: заполните поля",IF(COUNTIFS($C$10:$C$109,C80)&gt;1,"Ошибка: повтор ID",IF(AND(D80&lt;&gt;"Поступление",D80&lt;&gt;"Выплата"),"Ошибка: тип",IF(OR(NOT(ISNUMBER(J80)),NOT(ISNUMBER(K80))),"Ошибка: нет суммы",IF(OR(J80&lt;0,K80&lt;0,K80&gt;J80,ABS(J80-ROUND(J80,2))&gt;0.0000001,ABS(K80-ROUND(K80,2))&gt;0.0000001),"Ошибка: суммы",IF(AND(H80&lt;&gt;"",NOT(ISNUMBER(H80))),"Ошибка: срок",IF(OR(AND(D80="Поступление",M80&lt;&gt;"Входящий платёж"),AND(D80="Выплата",M80&lt;&gt;"Не рассмотрено",M80&lt;&gt;"Коллегия одобрила",M80&lt;&gt;"Проверено к оплате")),"Ошибка: согласование",IF(L80=0,"Закрыто",IF(NOT(ISNUMBER(I80)),"Ошибка: нет даты",IF(OR(I80&lt;'Сверка'!$D$4,I80&lt;&gt;INT(I80)),"Ошибка: обновите дату","В прогнозе")))))))))))</x:f>
      </x:c>
      <x:c r="Q80" s="25" t="n">
        <x:f>IF(ISERROR(P80),1,IF(OR(P80="В прогнозе",P80="Закрыто",P80=""),0,1))</x:f>
        <x:v>0</x:v>
      </x:c>
    </x:row>
    <x:row r="81" ht="24" customHeight="1">
      <x:c r="C81" s="7"/>
      <x:c r="D81" s="7"/>
      <x:c r="E81" s="7"/>
      <x:c r="F81" s="7"/>
      <x:c r="G81" s="7"/>
      <x:c r="H81" s="8"/>
      <x:c r="I81" s="8"/>
      <x:c r="J81" s="26"/>
      <x:c r="K81" s="26"/>
      <x:c r="L81" s="27" t="str">
        <x:f>IF(COUNTA(C81:K81)+COUNTA(M81:O81)=0,"",IF(AND(ISNUMBER(J81),ISNUMBER(K81),J81&gt;=0,K81&gt;=0,K81&lt;=J81),ROUND(J81-K81,2),""))</x:f>
      </x:c>
      <x:c r="M81" s="7"/>
      <x:c r="N81" s="7"/>
      <x:c r="O81" s="7"/>
      <x:c r="P81" s="2" t="str">
        <x:f>IF(COUNTA(C81:K81)+COUNTA(M81:O81)=0,"",IF(OR(C81="",E81="",F81="",G81="",N81=""),"Ошибка: заполните поля",IF(COUNTIFS($C$10:$C$109,C81)&gt;1,"Ошибка: повтор ID",IF(AND(D81&lt;&gt;"Поступление",D81&lt;&gt;"Выплата"),"Ошибка: тип",IF(OR(NOT(ISNUMBER(J81)),NOT(ISNUMBER(K81))),"Ошибка: нет суммы",IF(OR(J81&lt;0,K81&lt;0,K81&gt;J81,ABS(J81-ROUND(J81,2))&gt;0.0000001,ABS(K81-ROUND(K81,2))&gt;0.0000001),"Ошибка: суммы",IF(AND(H81&lt;&gt;"",NOT(ISNUMBER(H81))),"Ошибка: срок",IF(OR(AND(D81="Поступление",M81&lt;&gt;"Входящий платёж"),AND(D81="Выплата",M81&lt;&gt;"Не рассмотрено",M81&lt;&gt;"Коллегия одобрила",M81&lt;&gt;"Проверено к оплате")),"Ошибка: согласование",IF(L81=0,"Закрыто",IF(NOT(ISNUMBER(I81)),"Ошибка: нет даты",IF(OR(I81&lt;'Сверка'!$D$4,I81&lt;&gt;INT(I81)),"Ошибка: обновите дату","В прогнозе")))))))))))</x:f>
      </x:c>
      <x:c r="Q81" s="25" t="n">
        <x:f>IF(ISERROR(P81),1,IF(OR(P81="В прогнозе",P81="Закрыто",P81=""),0,1))</x:f>
        <x:v>0</x:v>
      </x:c>
    </x:row>
    <x:row r="82" ht="24" customHeight="1">
      <x:c r="C82" s="7"/>
      <x:c r="D82" s="7"/>
      <x:c r="E82" s="7"/>
      <x:c r="F82" s="7"/>
      <x:c r="G82" s="7"/>
      <x:c r="H82" s="8"/>
      <x:c r="I82" s="8"/>
      <x:c r="J82" s="26"/>
      <x:c r="K82" s="26"/>
      <x:c r="L82" s="27" t="str">
        <x:f>IF(COUNTA(C82:K82)+COUNTA(M82:O82)=0,"",IF(AND(ISNUMBER(J82),ISNUMBER(K82),J82&gt;=0,K82&gt;=0,K82&lt;=J82),ROUND(J82-K82,2),""))</x:f>
      </x:c>
      <x:c r="M82" s="7"/>
      <x:c r="N82" s="7"/>
      <x:c r="O82" s="7"/>
      <x:c r="P82" s="2" t="str">
        <x:f>IF(COUNTA(C82:K82)+COUNTA(M82:O82)=0,"",IF(OR(C82="",E82="",F82="",G82="",N82=""),"Ошибка: заполните поля",IF(COUNTIFS($C$10:$C$109,C82)&gt;1,"Ошибка: повтор ID",IF(AND(D82&lt;&gt;"Поступление",D82&lt;&gt;"Выплата"),"Ошибка: тип",IF(OR(NOT(ISNUMBER(J82)),NOT(ISNUMBER(K82))),"Ошибка: нет суммы",IF(OR(J82&lt;0,K82&lt;0,K82&gt;J82,ABS(J82-ROUND(J82,2))&gt;0.0000001,ABS(K82-ROUND(K82,2))&gt;0.0000001),"Ошибка: суммы",IF(AND(H82&lt;&gt;"",NOT(ISNUMBER(H82))),"Ошибка: срок",IF(OR(AND(D82="Поступление",M82&lt;&gt;"Входящий платёж"),AND(D82="Выплата",M82&lt;&gt;"Не рассмотрено",M82&lt;&gt;"Коллегия одобрила",M82&lt;&gt;"Проверено к оплате")),"Ошибка: согласование",IF(L82=0,"Закрыто",IF(NOT(ISNUMBER(I82)),"Ошибка: нет даты",IF(OR(I82&lt;'Сверка'!$D$4,I82&lt;&gt;INT(I82)),"Ошибка: обновите дату","В прогнозе")))))))))))</x:f>
      </x:c>
      <x:c r="Q82" s="25" t="n">
        <x:f>IF(ISERROR(P82),1,IF(OR(P82="В прогнозе",P82="Закрыто",P82=""),0,1))</x:f>
        <x:v>0</x:v>
      </x:c>
    </x:row>
    <x:row r="83" ht="24" customHeight="1">
      <x:c r="C83" s="7"/>
      <x:c r="D83" s="7"/>
      <x:c r="E83" s="7"/>
      <x:c r="F83" s="7"/>
      <x:c r="G83" s="7"/>
      <x:c r="H83" s="8"/>
      <x:c r="I83" s="8"/>
      <x:c r="J83" s="26"/>
      <x:c r="K83" s="26"/>
      <x:c r="L83" s="27" t="str">
        <x:f>IF(COUNTA(C83:K83)+COUNTA(M83:O83)=0,"",IF(AND(ISNUMBER(J83),ISNUMBER(K83),J83&gt;=0,K83&gt;=0,K83&lt;=J83),ROUND(J83-K83,2),""))</x:f>
      </x:c>
      <x:c r="M83" s="7"/>
      <x:c r="N83" s="7"/>
      <x:c r="O83" s="7"/>
      <x:c r="P83" s="2" t="str">
        <x:f>IF(COUNTA(C83:K83)+COUNTA(M83:O83)=0,"",IF(OR(C83="",E83="",F83="",G83="",N83=""),"Ошибка: заполните поля",IF(COUNTIFS($C$10:$C$109,C83)&gt;1,"Ошибка: повтор ID",IF(AND(D83&lt;&gt;"Поступление",D83&lt;&gt;"Выплата"),"Ошибка: тип",IF(OR(NOT(ISNUMBER(J83)),NOT(ISNUMBER(K83))),"Ошибка: нет суммы",IF(OR(J83&lt;0,K83&lt;0,K83&gt;J83,ABS(J83-ROUND(J83,2))&gt;0.0000001,ABS(K83-ROUND(K83,2))&gt;0.0000001),"Ошибка: суммы",IF(AND(H83&lt;&gt;"",NOT(ISNUMBER(H83))),"Ошибка: срок",IF(OR(AND(D83="Поступление",M83&lt;&gt;"Входящий платёж"),AND(D83="Выплата",M83&lt;&gt;"Не рассмотрено",M83&lt;&gt;"Коллегия одобрила",M83&lt;&gt;"Проверено к оплате")),"Ошибка: согласование",IF(L83=0,"Закрыто",IF(NOT(ISNUMBER(I83)),"Ошибка: нет даты",IF(OR(I83&lt;'Сверка'!$D$4,I83&lt;&gt;INT(I83)),"Ошибка: обновите дату","В прогнозе")))))))))))</x:f>
      </x:c>
      <x:c r="Q83" s="25" t="n">
        <x:f>IF(ISERROR(P83),1,IF(OR(P83="В прогнозе",P83="Закрыто",P83=""),0,1))</x:f>
        <x:v>0</x:v>
      </x:c>
    </x:row>
    <x:row r="84" ht="24" customHeight="1">
      <x:c r="C84" s="7"/>
      <x:c r="D84" s="7"/>
      <x:c r="E84" s="7"/>
      <x:c r="F84" s="7"/>
      <x:c r="G84" s="7"/>
      <x:c r="H84" s="8"/>
      <x:c r="I84" s="8"/>
      <x:c r="J84" s="26"/>
      <x:c r="K84" s="26"/>
      <x:c r="L84" s="27" t="str">
        <x:f>IF(COUNTA(C84:K84)+COUNTA(M84:O84)=0,"",IF(AND(ISNUMBER(J84),ISNUMBER(K84),J84&gt;=0,K84&gt;=0,K84&lt;=J84),ROUND(J84-K84,2),""))</x:f>
      </x:c>
      <x:c r="M84" s="7"/>
      <x:c r="N84" s="7"/>
      <x:c r="O84" s="7"/>
      <x:c r="P84" s="2" t="str">
        <x:f>IF(COUNTA(C84:K84)+COUNTA(M84:O84)=0,"",IF(OR(C84="",E84="",F84="",G84="",N84=""),"Ошибка: заполните поля",IF(COUNTIFS($C$10:$C$109,C84)&gt;1,"Ошибка: повтор ID",IF(AND(D84&lt;&gt;"Поступление",D84&lt;&gt;"Выплата"),"Ошибка: тип",IF(OR(NOT(ISNUMBER(J84)),NOT(ISNUMBER(K84))),"Ошибка: нет суммы",IF(OR(J84&lt;0,K84&lt;0,K84&gt;J84,ABS(J84-ROUND(J84,2))&gt;0.0000001,ABS(K84-ROUND(K84,2))&gt;0.0000001),"Ошибка: суммы",IF(AND(H84&lt;&gt;"",NOT(ISNUMBER(H84))),"Ошибка: срок",IF(OR(AND(D84="Поступление",M84&lt;&gt;"Входящий платёж"),AND(D84="Выплата",M84&lt;&gt;"Не рассмотрено",M84&lt;&gt;"Коллегия одобрила",M84&lt;&gt;"Проверено к оплате")),"Ошибка: согласование",IF(L84=0,"Закрыто",IF(NOT(ISNUMBER(I84)),"Ошибка: нет даты",IF(OR(I84&lt;'Сверка'!$D$4,I84&lt;&gt;INT(I84)),"Ошибка: обновите дату","В прогнозе")))))))))))</x:f>
      </x:c>
      <x:c r="Q84" s="25" t="n">
        <x:f>IF(ISERROR(P84),1,IF(OR(P84="В прогнозе",P84="Закрыто",P84=""),0,1))</x:f>
        <x:v>0</x:v>
      </x:c>
    </x:row>
    <x:row r="85" ht="24" customHeight="1">
      <x:c r="C85" s="7"/>
      <x:c r="D85" s="7"/>
      <x:c r="E85" s="7"/>
      <x:c r="F85" s="7"/>
      <x:c r="G85" s="7"/>
      <x:c r="H85" s="8"/>
      <x:c r="I85" s="8"/>
      <x:c r="J85" s="26"/>
      <x:c r="K85" s="26"/>
      <x:c r="L85" s="27" t="str">
        <x:f>IF(COUNTA(C85:K85)+COUNTA(M85:O85)=0,"",IF(AND(ISNUMBER(J85),ISNUMBER(K85),J85&gt;=0,K85&gt;=0,K85&lt;=J85),ROUND(J85-K85,2),""))</x:f>
      </x:c>
      <x:c r="M85" s="7"/>
      <x:c r="N85" s="7"/>
      <x:c r="O85" s="7"/>
      <x:c r="P85" s="2" t="str">
        <x:f>IF(COUNTA(C85:K85)+COUNTA(M85:O85)=0,"",IF(OR(C85="",E85="",F85="",G85="",N85=""),"Ошибка: заполните поля",IF(COUNTIFS($C$10:$C$109,C85)&gt;1,"Ошибка: повтор ID",IF(AND(D85&lt;&gt;"Поступление",D85&lt;&gt;"Выплата"),"Ошибка: тип",IF(OR(NOT(ISNUMBER(J85)),NOT(ISNUMBER(K85))),"Ошибка: нет суммы",IF(OR(J85&lt;0,K85&lt;0,K85&gt;J85,ABS(J85-ROUND(J85,2))&gt;0.0000001,ABS(K85-ROUND(K85,2))&gt;0.0000001),"Ошибка: суммы",IF(AND(H85&lt;&gt;"",NOT(ISNUMBER(H85))),"Ошибка: срок",IF(OR(AND(D85="Поступление",M85&lt;&gt;"Входящий платёж"),AND(D85="Выплата",M85&lt;&gt;"Не рассмотрено",M85&lt;&gt;"Коллегия одобрила",M85&lt;&gt;"Проверено к оплате")),"Ошибка: согласование",IF(L85=0,"Закрыто",IF(NOT(ISNUMBER(I85)),"Ошибка: нет даты",IF(OR(I85&lt;'Сверка'!$D$4,I85&lt;&gt;INT(I85)),"Ошибка: обновите дату","В прогнозе")))))))))))</x:f>
      </x:c>
      <x:c r="Q85" s="25" t="n">
        <x:f>IF(ISERROR(P85),1,IF(OR(P85="В прогнозе",P85="Закрыто",P85=""),0,1))</x:f>
        <x:v>0</x:v>
      </x:c>
    </x:row>
    <x:row r="86" ht="24" customHeight="1">
      <x:c r="C86" s="7"/>
      <x:c r="D86" s="7"/>
      <x:c r="E86" s="7"/>
      <x:c r="F86" s="7"/>
      <x:c r="G86" s="7"/>
      <x:c r="H86" s="8"/>
      <x:c r="I86" s="8"/>
      <x:c r="J86" s="26"/>
      <x:c r="K86" s="26"/>
      <x:c r="L86" s="27" t="str">
        <x:f>IF(COUNTA(C86:K86)+COUNTA(M86:O86)=0,"",IF(AND(ISNUMBER(J86),ISNUMBER(K86),J86&gt;=0,K86&gt;=0,K86&lt;=J86),ROUND(J86-K86,2),""))</x:f>
      </x:c>
      <x:c r="M86" s="7"/>
      <x:c r="N86" s="7"/>
      <x:c r="O86" s="7"/>
      <x:c r="P86" s="2" t="str">
        <x:f>IF(COUNTA(C86:K86)+COUNTA(M86:O86)=0,"",IF(OR(C86="",E86="",F86="",G86="",N86=""),"Ошибка: заполните поля",IF(COUNTIFS($C$10:$C$109,C86)&gt;1,"Ошибка: повтор ID",IF(AND(D86&lt;&gt;"Поступление",D86&lt;&gt;"Выплата"),"Ошибка: тип",IF(OR(NOT(ISNUMBER(J86)),NOT(ISNUMBER(K86))),"Ошибка: нет суммы",IF(OR(J86&lt;0,K86&lt;0,K86&gt;J86,ABS(J86-ROUND(J86,2))&gt;0.0000001,ABS(K86-ROUND(K86,2))&gt;0.0000001),"Ошибка: суммы",IF(AND(H86&lt;&gt;"",NOT(ISNUMBER(H86))),"Ошибка: срок",IF(OR(AND(D86="Поступление",M86&lt;&gt;"Входящий платёж"),AND(D86="Выплата",M86&lt;&gt;"Не рассмотрено",M86&lt;&gt;"Коллегия одобрила",M86&lt;&gt;"Проверено к оплате")),"Ошибка: согласование",IF(L86=0,"Закрыто",IF(NOT(ISNUMBER(I86)),"Ошибка: нет даты",IF(OR(I86&lt;'Сверка'!$D$4,I86&lt;&gt;INT(I86)),"Ошибка: обновите дату","В прогнозе")))))))))))</x:f>
      </x:c>
      <x:c r="Q86" s="25" t="n">
        <x:f>IF(ISERROR(P86),1,IF(OR(P86="В прогнозе",P86="Закрыто",P86=""),0,1))</x:f>
        <x:v>0</x:v>
      </x:c>
    </x:row>
    <x:row r="87" ht="24" customHeight="1">
      <x:c r="C87" s="7"/>
      <x:c r="D87" s="7"/>
      <x:c r="E87" s="7"/>
      <x:c r="F87" s="7"/>
      <x:c r="G87" s="7"/>
      <x:c r="H87" s="8"/>
      <x:c r="I87" s="8"/>
      <x:c r="J87" s="26"/>
      <x:c r="K87" s="26"/>
      <x:c r="L87" s="27" t="str">
        <x:f>IF(COUNTA(C87:K87)+COUNTA(M87:O87)=0,"",IF(AND(ISNUMBER(J87),ISNUMBER(K87),J87&gt;=0,K87&gt;=0,K87&lt;=J87),ROUND(J87-K87,2),""))</x:f>
      </x:c>
      <x:c r="M87" s="7"/>
      <x:c r="N87" s="7"/>
      <x:c r="O87" s="7"/>
      <x:c r="P87" s="2" t="str">
        <x:f>IF(COUNTA(C87:K87)+COUNTA(M87:O87)=0,"",IF(OR(C87="",E87="",F87="",G87="",N87=""),"Ошибка: заполните поля",IF(COUNTIFS($C$10:$C$109,C87)&gt;1,"Ошибка: повтор ID",IF(AND(D87&lt;&gt;"Поступление",D87&lt;&gt;"Выплата"),"Ошибка: тип",IF(OR(NOT(ISNUMBER(J87)),NOT(ISNUMBER(K87))),"Ошибка: нет суммы",IF(OR(J87&lt;0,K87&lt;0,K87&gt;J87,ABS(J87-ROUND(J87,2))&gt;0.0000001,ABS(K87-ROUND(K87,2))&gt;0.0000001),"Ошибка: суммы",IF(AND(H87&lt;&gt;"",NOT(ISNUMBER(H87))),"Ошибка: срок",IF(OR(AND(D87="Поступление",M87&lt;&gt;"Входящий платёж"),AND(D87="Выплата",M87&lt;&gt;"Не рассмотрено",M87&lt;&gt;"Коллегия одобрила",M87&lt;&gt;"Проверено к оплате")),"Ошибка: согласование",IF(L87=0,"Закрыто",IF(NOT(ISNUMBER(I87)),"Ошибка: нет даты",IF(OR(I87&lt;'Сверка'!$D$4,I87&lt;&gt;INT(I87)),"Ошибка: обновите дату","В прогнозе")))))))))))</x:f>
      </x:c>
      <x:c r="Q87" s="25" t="n">
        <x:f>IF(ISERROR(P87),1,IF(OR(P87="В прогнозе",P87="Закрыто",P87=""),0,1))</x:f>
        <x:v>0</x:v>
      </x:c>
    </x:row>
    <x:row r="88" ht="24" customHeight="1">
      <x:c r="C88" s="7"/>
      <x:c r="D88" s="7"/>
      <x:c r="E88" s="7"/>
      <x:c r="F88" s="7"/>
      <x:c r="G88" s="7"/>
      <x:c r="H88" s="8"/>
      <x:c r="I88" s="8"/>
      <x:c r="J88" s="26"/>
      <x:c r="K88" s="26"/>
      <x:c r="L88" s="27" t="str">
        <x:f>IF(COUNTA(C88:K88)+COUNTA(M88:O88)=0,"",IF(AND(ISNUMBER(J88),ISNUMBER(K88),J88&gt;=0,K88&gt;=0,K88&lt;=J88),ROUND(J88-K88,2),""))</x:f>
      </x:c>
      <x:c r="M88" s="7"/>
      <x:c r="N88" s="7"/>
      <x:c r="O88" s="7"/>
      <x:c r="P88" s="2" t="str">
        <x:f>IF(COUNTA(C88:K88)+COUNTA(M88:O88)=0,"",IF(OR(C88="",E88="",F88="",G88="",N88=""),"Ошибка: заполните поля",IF(COUNTIFS($C$10:$C$109,C88)&gt;1,"Ошибка: повтор ID",IF(AND(D88&lt;&gt;"Поступление",D88&lt;&gt;"Выплата"),"Ошибка: тип",IF(OR(NOT(ISNUMBER(J88)),NOT(ISNUMBER(K88))),"Ошибка: нет суммы",IF(OR(J88&lt;0,K88&lt;0,K88&gt;J88,ABS(J88-ROUND(J88,2))&gt;0.0000001,ABS(K88-ROUND(K88,2))&gt;0.0000001),"Ошибка: суммы",IF(AND(H88&lt;&gt;"",NOT(ISNUMBER(H88))),"Ошибка: срок",IF(OR(AND(D88="Поступление",M88&lt;&gt;"Входящий платёж"),AND(D88="Выплата",M88&lt;&gt;"Не рассмотрено",M88&lt;&gt;"Коллегия одобрила",M88&lt;&gt;"Проверено к оплате")),"Ошибка: согласование",IF(L88=0,"Закрыто",IF(NOT(ISNUMBER(I88)),"Ошибка: нет даты",IF(OR(I88&lt;'Сверка'!$D$4,I88&lt;&gt;INT(I88)),"Ошибка: обновите дату","В прогнозе")))))))))))</x:f>
      </x:c>
      <x:c r="Q88" s="25" t="n">
        <x:f>IF(ISERROR(P88),1,IF(OR(P88="В прогнозе",P88="Закрыто",P88=""),0,1))</x:f>
        <x:v>0</x:v>
      </x:c>
    </x:row>
    <x:row r="89" ht="24" customHeight="1">
      <x:c r="C89" s="7"/>
      <x:c r="D89" s="7"/>
      <x:c r="E89" s="7"/>
      <x:c r="F89" s="7"/>
      <x:c r="G89" s="7"/>
      <x:c r="H89" s="8"/>
      <x:c r="I89" s="8"/>
      <x:c r="J89" s="26"/>
      <x:c r="K89" s="26"/>
      <x:c r="L89" s="27" t="str">
        <x:f>IF(COUNTA(C89:K89)+COUNTA(M89:O89)=0,"",IF(AND(ISNUMBER(J89),ISNUMBER(K89),J89&gt;=0,K89&gt;=0,K89&lt;=J89),ROUND(J89-K89,2),""))</x:f>
      </x:c>
      <x:c r="M89" s="7"/>
      <x:c r="N89" s="7"/>
      <x:c r="O89" s="7"/>
      <x:c r="P89" s="2" t="str">
        <x:f>IF(COUNTA(C89:K89)+COUNTA(M89:O89)=0,"",IF(OR(C89="",E89="",F89="",G89="",N89=""),"Ошибка: заполните поля",IF(COUNTIFS($C$10:$C$109,C89)&gt;1,"Ошибка: повтор ID",IF(AND(D89&lt;&gt;"Поступление",D89&lt;&gt;"Выплата"),"Ошибка: тип",IF(OR(NOT(ISNUMBER(J89)),NOT(ISNUMBER(K89))),"Ошибка: нет суммы",IF(OR(J89&lt;0,K89&lt;0,K89&gt;J89,ABS(J89-ROUND(J89,2))&gt;0.0000001,ABS(K89-ROUND(K89,2))&gt;0.0000001),"Ошибка: суммы",IF(AND(H89&lt;&gt;"",NOT(ISNUMBER(H89))),"Ошибка: срок",IF(OR(AND(D89="Поступление",M89&lt;&gt;"Входящий платёж"),AND(D89="Выплата",M89&lt;&gt;"Не рассмотрено",M89&lt;&gt;"Коллегия одобрила",M89&lt;&gt;"Проверено к оплате")),"Ошибка: согласование",IF(L89=0,"Закрыто",IF(NOT(ISNUMBER(I89)),"Ошибка: нет даты",IF(OR(I89&lt;'Сверка'!$D$4,I89&lt;&gt;INT(I89)),"Ошибка: обновите дату","В прогнозе")))))))))))</x:f>
      </x:c>
      <x:c r="Q89" s="25" t="n">
        <x:f>IF(ISERROR(P89),1,IF(OR(P89="В прогнозе",P89="Закрыто",P89=""),0,1))</x:f>
        <x:v>0</x:v>
      </x:c>
    </x:row>
    <x:row r="90" ht="24" customHeight="1">
      <x:c r="C90" s="7"/>
      <x:c r="D90" s="7"/>
      <x:c r="E90" s="7"/>
      <x:c r="F90" s="7"/>
      <x:c r="G90" s="7"/>
      <x:c r="H90" s="8"/>
      <x:c r="I90" s="8"/>
      <x:c r="J90" s="26"/>
      <x:c r="K90" s="26"/>
      <x:c r="L90" s="27" t="str">
        <x:f>IF(COUNTA(C90:K90)+COUNTA(M90:O90)=0,"",IF(AND(ISNUMBER(J90),ISNUMBER(K90),J90&gt;=0,K90&gt;=0,K90&lt;=J90),ROUND(J90-K90,2),""))</x:f>
      </x:c>
      <x:c r="M90" s="7"/>
      <x:c r="N90" s="7"/>
      <x:c r="O90" s="7"/>
      <x:c r="P90" s="2" t="str">
        <x:f>IF(COUNTA(C90:K90)+COUNTA(M90:O90)=0,"",IF(OR(C90="",E90="",F90="",G90="",N90=""),"Ошибка: заполните поля",IF(COUNTIFS($C$10:$C$109,C90)&gt;1,"Ошибка: повтор ID",IF(AND(D90&lt;&gt;"Поступление",D90&lt;&gt;"Выплата"),"Ошибка: тип",IF(OR(NOT(ISNUMBER(J90)),NOT(ISNUMBER(K90))),"Ошибка: нет суммы",IF(OR(J90&lt;0,K90&lt;0,K90&gt;J90,ABS(J90-ROUND(J90,2))&gt;0.0000001,ABS(K90-ROUND(K90,2))&gt;0.0000001),"Ошибка: суммы",IF(AND(H90&lt;&gt;"",NOT(ISNUMBER(H90))),"Ошибка: срок",IF(OR(AND(D90="Поступление",M90&lt;&gt;"Входящий платёж"),AND(D90="Выплата",M90&lt;&gt;"Не рассмотрено",M90&lt;&gt;"Коллегия одобрила",M90&lt;&gt;"Проверено к оплате")),"Ошибка: согласование",IF(L90=0,"Закрыто",IF(NOT(ISNUMBER(I90)),"Ошибка: нет даты",IF(OR(I90&lt;'Сверка'!$D$4,I90&lt;&gt;INT(I90)),"Ошибка: обновите дату","В прогнозе")))))))))))</x:f>
      </x:c>
      <x:c r="Q90" s="25" t="n">
        <x:f>IF(ISERROR(P90),1,IF(OR(P90="В прогнозе",P90="Закрыто",P90=""),0,1))</x:f>
        <x:v>0</x:v>
      </x:c>
    </x:row>
    <x:row r="91" ht="24" customHeight="1">
      <x:c r="C91" s="7"/>
      <x:c r="D91" s="7"/>
      <x:c r="E91" s="7"/>
      <x:c r="F91" s="7"/>
      <x:c r="G91" s="7"/>
      <x:c r="H91" s="8"/>
      <x:c r="I91" s="8"/>
      <x:c r="J91" s="26"/>
      <x:c r="K91" s="26"/>
      <x:c r="L91" s="27" t="str">
        <x:f>IF(COUNTA(C91:K91)+COUNTA(M91:O91)=0,"",IF(AND(ISNUMBER(J91),ISNUMBER(K91),J91&gt;=0,K91&gt;=0,K91&lt;=J91),ROUND(J91-K91,2),""))</x:f>
      </x:c>
      <x:c r="M91" s="7"/>
      <x:c r="N91" s="7"/>
      <x:c r="O91" s="7"/>
      <x:c r="P91" s="2" t="str">
        <x:f>IF(COUNTA(C91:K91)+COUNTA(M91:O91)=0,"",IF(OR(C91="",E91="",F91="",G91="",N91=""),"Ошибка: заполните поля",IF(COUNTIFS($C$10:$C$109,C91)&gt;1,"Ошибка: повтор ID",IF(AND(D91&lt;&gt;"Поступление",D91&lt;&gt;"Выплата"),"Ошибка: тип",IF(OR(NOT(ISNUMBER(J91)),NOT(ISNUMBER(K91))),"Ошибка: нет суммы",IF(OR(J91&lt;0,K91&lt;0,K91&gt;J91,ABS(J91-ROUND(J91,2))&gt;0.0000001,ABS(K91-ROUND(K91,2))&gt;0.0000001),"Ошибка: суммы",IF(AND(H91&lt;&gt;"",NOT(ISNUMBER(H91))),"Ошибка: срок",IF(OR(AND(D91="Поступление",M91&lt;&gt;"Входящий платёж"),AND(D91="Выплата",M91&lt;&gt;"Не рассмотрено",M91&lt;&gt;"Коллегия одобрила",M91&lt;&gt;"Проверено к оплате")),"Ошибка: согласование",IF(L91=0,"Закрыто",IF(NOT(ISNUMBER(I91)),"Ошибка: нет даты",IF(OR(I91&lt;'Сверка'!$D$4,I91&lt;&gt;INT(I91)),"Ошибка: обновите дату","В прогнозе")))))))))))</x:f>
      </x:c>
      <x:c r="Q91" s="25" t="n">
        <x:f>IF(ISERROR(P91),1,IF(OR(P91="В прогнозе",P91="Закрыто",P91=""),0,1))</x:f>
        <x:v>0</x:v>
      </x:c>
    </x:row>
    <x:row r="92" ht="24" customHeight="1">
      <x:c r="C92" s="7"/>
      <x:c r="D92" s="7"/>
      <x:c r="E92" s="7"/>
      <x:c r="F92" s="7"/>
      <x:c r="G92" s="7"/>
      <x:c r="H92" s="8"/>
      <x:c r="I92" s="8"/>
      <x:c r="J92" s="26"/>
      <x:c r="K92" s="26"/>
      <x:c r="L92" s="27" t="str">
        <x:f>IF(COUNTA(C92:K92)+COUNTA(M92:O92)=0,"",IF(AND(ISNUMBER(J92),ISNUMBER(K92),J92&gt;=0,K92&gt;=0,K92&lt;=J92),ROUND(J92-K92,2),""))</x:f>
      </x:c>
      <x:c r="M92" s="7"/>
      <x:c r="N92" s="7"/>
      <x:c r="O92" s="7"/>
      <x:c r="P92" s="2" t="str">
        <x:f>IF(COUNTA(C92:K92)+COUNTA(M92:O92)=0,"",IF(OR(C92="",E92="",F92="",G92="",N92=""),"Ошибка: заполните поля",IF(COUNTIFS($C$10:$C$109,C92)&gt;1,"Ошибка: повтор ID",IF(AND(D92&lt;&gt;"Поступление",D92&lt;&gt;"Выплата"),"Ошибка: тип",IF(OR(NOT(ISNUMBER(J92)),NOT(ISNUMBER(K92))),"Ошибка: нет суммы",IF(OR(J92&lt;0,K92&lt;0,K92&gt;J92,ABS(J92-ROUND(J92,2))&gt;0.0000001,ABS(K92-ROUND(K92,2))&gt;0.0000001),"Ошибка: суммы",IF(AND(H92&lt;&gt;"",NOT(ISNUMBER(H92))),"Ошибка: срок",IF(OR(AND(D92="Поступление",M92&lt;&gt;"Входящий платёж"),AND(D92="Выплата",M92&lt;&gt;"Не рассмотрено",M92&lt;&gt;"Коллегия одобрила",M92&lt;&gt;"Проверено к оплате")),"Ошибка: согласование",IF(L92=0,"Закрыто",IF(NOT(ISNUMBER(I92)),"Ошибка: нет даты",IF(OR(I92&lt;'Сверка'!$D$4,I92&lt;&gt;INT(I92)),"Ошибка: обновите дату","В прогнозе")))))))))))</x:f>
      </x:c>
      <x:c r="Q92" s="25" t="n">
        <x:f>IF(ISERROR(P92),1,IF(OR(P92="В прогнозе",P92="Закрыто",P92=""),0,1))</x:f>
        <x:v>0</x:v>
      </x:c>
    </x:row>
    <x:row r="93" ht="24" customHeight="1">
      <x:c r="C93" s="7"/>
      <x:c r="D93" s="7"/>
      <x:c r="E93" s="7"/>
      <x:c r="F93" s="7"/>
      <x:c r="G93" s="7"/>
      <x:c r="H93" s="8"/>
      <x:c r="I93" s="8"/>
      <x:c r="J93" s="26"/>
      <x:c r="K93" s="26"/>
      <x:c r="L93" s="27" t="str">
        <x:f>IF(COUNTA(C93:K93)+COUNTA(M93:O93)=0,"",IF(AND(ISNUMBER(J93),ISNUMBER(K93),J93&gt;=0,K93&gt;=0,K93&lt;=J93),ROUND(J93-K93,2),""))</x:f>
      </x:c>
      <x:c r="M93" s="7"/>
      <x:c r="N93" s="7"/>
      <x:c r="O93" s="7"/>
      <x:c r="P93" s="2" t="str">
        <x:f>IF(COUNTA(C93:K93)+COUNTA(M93:O93)=0,"",IF(OR(C93="",E93="",F93="",G93="",N93=""),"Ошибка: заполните поля",IF(COUNTIFS($C$10:$C$109,C93)&gt;1,"Ошибка: повтор ID",IF(AND(D93&lt;&gt;"Поступление",D93&lt;&gt;"Выплата"),"Ошибка: тип",IF(OR(NOT(ISNUMBER(J93)),NOT(ISNUMBER(K93))),"Ошибка: нет суммы",IF(OR(J93&lt;0,K93&lt;0,K93&gt;J93,ABS(J93-ROUND(J93,2))&gt;0.0000001,ABS(K93-ROUND(K93,2))&gt;0.0000001),"Ошибка: суммы",IF(AND(H93&lt;&gt;"",NOT(ISNUMBER(H93))),"Ошибка: срок",IF(OR(AND(D93="Поступление",M93&lt;&gt;"Входящий платёж"),AND(D93="Выплата",M93&lt;&gt;"Не рассмотрено",M93&lt;&gt;"Коллегия одобрила",M93&lt;&gt;"Проверено к оплате")),"Ошибка: согласование",IF(L93=0,"Закрыто",IF(NOT(ISNUMBER(I93)),"Ошибка: нет даты",IF(OR(I93&lt;'Сверка'!$D$4,I93&lt;&gt;INT(I93)),"Ошибка: обновите дату","В прогнозе")))))))))))</x:f>
      </x:c>
      <x:c r="Q93" s="25" t="n">
        <x:f>IF(ISERROR(P93),1,IF(OR(P93="В прогнозе",P93="Закрыто",P93=""),0,1))</x:f>
        <x:v>0</x:v>
      </x:c>
    </x:row>
    <x:row r="94" ht="24" customHeight="1">
      <x:c r="C94" s="7"/>
      <x:c r="D94" s="7"/>
      <x:c r="E94" s="7"/>
      <x:c r="F94" s="7"/>
      <x:c r="G94" s="7"/>
      <x:c r="H94" s="8"/>
      <x:c r="I94" s="8"/>
      <x:c r="J94" s="26"/>
      <x:c r="K94" s="26"/>
      <x:c r="L94" s="27" t="str">
        <x:f>IF(COUNTA(C94:K94)+COUNTA(M94:O94)=0,"",IF(AND(ISNUMBER(J94),ISNUMBER(K94),J94&gt;=0,K94&gt;=0,K94&lt;=J94),ROUND(J94-K94,2),""))</x:f>
      </x:c>
      <x:c r="M94" s="7"/>
      <x:c r="N94" s="7"/>
      <x:c r="O94" s="7"/>
      <x:c r="P94" s="2" t="str">
        <x:f>IF(COUNTA(C94:K94)+COUNTA(M94:O94)=0,"",IF(OR(C94="",E94="",F94="",G94="",N94=""),"Ошибка: заполните поля",IF(COUNTIFS($C$10:$C$109,C94)&gt;1,"Ошибка: повтор ID",IF(AND(D94&lt;&gt;"Поступление",D94&lt;&gt;"Выплата"),"Ошибка: тип",IF(OR(NOT(ISNUMBER(J94)),NOT(ISNUMBER(K94))),"Ошибка: нет суммы",IF(OR(J94&lt;0,K94&lt;0,K94&gt;J94,ABS(J94-ROUND(J94,2))&gt;0.0000001,ABS(K94-ROUND(K94,2))&gt;0.0000001),"Ошибка: суммы",IF(AND(H94&lt;&gt;"",NOT(ISNUMBER(H94))),"Ошибка: срок",IF(OR(AND(D94="Поступление",M94&lt;&gt;"Входящий платёж"),AND(D94="Выплата",M94&lt;&gt;"Не рассмотрено",M94&lt;&gt;"Коллегия одобрила",M94&lt;&gt;"Проверено к оплате")),"Ошибка: согласование",IF(L94=0,"Закрыто",IF(NOT(ISNUMBER(I94)),"Ошибка: нет даты",IF(OR(I94&lt;'Сверка'!$D$4,I94&lt;&gt;INT(I94)),"Ошибка: обновите дату","В прогнозе")))))))))))</x:f>
      </x:c>
      <x:c r="Q94" s="25" t="n">
        <x:f>IF(ISERROR(P94),1,IF(OR(P94="В прогнозе",P94="Закрыто",P94=""),0,1))</x:f>
        <x:v>0</x:v>
      </x:c>
    </x:row>
    <x:row r="95" ht="24" customHeight="1">
      <x:c r="C95" s="7"/>
      <x:c r="D95" s="7"/>
      <x:c r="E95" s="7"/>
      <x:c r="F95" s="7"/>
      <x:c r="G95" s="7"/>
      <x:c r="H95" s="8"/>
      <x:c r="I95" s="8"/>
      <x:c r="J95" s="26"/>
      <x:c r="K95" s="26"/>
      <x:c r="L95" s="27" t="str">
        <x:f>IF(COUNTA(C95:K95)+COUNTA(M95:O95)=0,"",IF(AND(ISNUMBER(J95),ISNUMBER(K95),J95&gt;=0,K95&gt;=0,K95&lt;=J95),ROUND(J95-K95,2),""))</x:f>
      </x:c>
      <x:c r="M95" s="7"/>
      <x:c r="N95" s="7"/>
      <x:c r="O95" s="7"/>
      <x:c r="P95" s="2" t="str">
        <x:f>IF(COUNTA(C95:K95)+COUNTA(M95:O95)=0,"",IF(OR(C95="",E95="",F95="",G95="",N95=""),"Ошибка: заполните поля",IF(COUNTIFS($C$10:$C$109,C95)&gt;1,"Ошибка: повтор ID",IF(AND(D95&lt;&gt;"Поступление",D95&lt;&gt;"Выплата"),"Ошибка: тип",IF(OR(NOT(ISNUMBER(J95)),NOT(ISNUMBER(K95))),"Ошибка: нет суммы",IF(OR(J95&lt;0,K95&lt;0,K95&gt;J95,ABS(J95-ROUND(J95,2))&gt;0.0000001,ABS(K95-ROUND(K95,2))&gt;0.0000001),"Ошибка: суммы",IF(AND(H95&lt;&gt;"",NOT(ISNUMBER(H95))),"Ошибка: срок",IF(OR(AND(D95="Поступление",M95&lt;&gt;"Входящий платёж"),AND(D95="Выплата",M95&lt;&gt;"Не рассмотрено",M95&lt;&gt;"Коллегия одобрила",M95&lt;&gt;"Проверено к оплате")),"Ошибка: согласование",IF(L95=0,"Закрыто",IF(NOT(ISNUMBER(I95)),"Ошибка: нет даты",IF(OR(I95&lt;'Сверка'!$D$4,I95&lt;&gt;INT(I95)),"Ошибка: обновите дату","В прогнозе")))))))))))</x:f>
      </x:c>
      <x:c r="Q95" s="25" t="n">
        <x:f>IF(ISERROR(P95),1,IF(OR(P95="В прогнозе",P95="Закрыто",P95=""),0,1))</x:f>
        <x:v>0</x:v>
      </x:c>
    </x:row>
    <x:row r="96" ht="24" customHeight="1">
      <x:c r="C96" s="7"/>
      <x:c r="D96" s="7"/>
      <x:c r="E96" s="7"/>
      <x:c r="F96" s="7"/>
      <x:c r="G96" s="7"/>
      <x:c r="H96" s="8"/>
      <x:c r="I96" s="8"/>
      <x:c r="J96" s="26"/>
      <x:c r="K96" s="26"/>
      <x:c r="L96" s="27" t="str">
        <x:f>IF(COUNTA(C96:K96)+COUNTA(M96:O96)=0,"",IF(AND(ISNUMBER(J96),ISNUMBER(K96),J96&gt;=0,K96&gt;=0,K96&lt;=J96),ROUND(J96-K96,2),""))</x:f>
      </x:c>
      <x:c r="M96" s="7"/>
      <x:c r="N96" s="7"/>
      <x:c r="O96" s="7"/>
      <x:c r="P96" s="2" t="str">
        <x:f>IF(COUNTA(C96:K96)+COUNTA(M96:O96)=0,"",IF(OR(C96="",E96="",F96="",G96="",N96=""),"Ошибка: заполните поля",IF(COUNTIFS($C$10:$C$109,C96)&gt;1,"Ошибка: повтор ID",IF(AND(D96&lt;&gt;"Поступление",D96&lt;&gt;"Выплата"),"Ошибка: тип",IF(OR(NOT(ISNUMBER(J96)),NOT(ISNUMBER(K96))),"Ошибка: нет суммы",IF(OR(J96&lt;0,K96&lt;0,K96&gt;J96,ABS(J96-ROUND(J96,2))&gt;0.0000001,ABS(K96-ROUND(K96,2))&gt;0.0000001),"Ошибка: суммы",IF(AND(H96&lt;&gt;"",NOT(ISNUMBER(H96))),"Ошибка: срок",IF(OR(AND(D96="Поступление",M96&lt;&gt;"Входящий платёж"),AND(D96="Выплата",M96&lt;&gt;"Не рассмотрено",M96&lt;&gt;"Коллегия одобрила",M96&lt;&gt;"Проверено к оплате")),"Ошибка: согласование",IF(L96=0,"Закрыто",IF(NOT(ISNUMBER(I96)),"Ошибка: нет даты",IF(OR(I96&lt;'Сверка'!$D$4,I96&lt;&gt;INT(I96)),"Ошибка: обновите дату","В прогнозе")))))))))))</x:f>
      </x:c>
      <x:c r="Q96" s="25" t="n">
        <x:f>IF(ISERROR(P96),1,IF(OR(P96="В прогнозе",P96="Закрыто",P96=""),0,1))</x:f>
        <x:v>0</x:v>
      </x:c>
    </x:row>
    <x:row r="97" ht="24" customHeight="1">
      <x:c r="C97" s="7"/>
      <x:c r="D97" s="7"/>
      <x:c r="E97" s="7"/>
      <x:c r="F97" s="7"/>
      <x:c r="G97" s="7"/>
      <x:c r="H97" s="8"/>
      <x:c r="I97" s="8"/>
      <x:c r="J97" s="26"/>
      <x:c r="K97" s="26"/>
      <x:c r="L97" s="27" t="str">
        <x:f>IF(COUNTA(C97:K97)+COUNTA(M97:O97)=0,"",IF(AND(ISNUMBER(J97),ISNUMBER(K97),J97&gt;=0,K97&gt;=0,K97&lt;=J97),ROUND(J97-K97,2),""))</x:f>
      </x:c>
      <x:c r="M97" s="7"/>
      <x:c r="N97" s="7"/>
      <x:c r="O97" s="7"/>
      <x:c r="P97" s="2" t="str">
        <x:f>IF(COUNTA(C97:K97)+COUNTA(M97:O97)=0,"",IF(OR(C97="",E97="",F97="",G97="",N97=""),"Ошибка: заполните поля",IF(COUNTIFS($C$10:$C$109,C97)&gt;1,"Ошибка: повтор ID",IF(AND(D97&lt;&gt;"Поступление",D97&lt;&gt;"Выплата"),"Ошибка: тип",IF(OR(NOT(ISNUMBER(J97)),NOT(ISNUMBER(K97))),"Ошибка: нет суммы",IF(OR(J97&lt;0,K97&lt;0,K97&gt;J97,ABS(J97-ROUND(J97,2))&gt;0.0000001,ABS(K97-ROUND(K97,2))&gt;0.0000001),"Ошибка: суммы",IF(AND(H97&lt;&gt;"",NOT(ISNUMBER(H97))),"Ошибка: срок",IF(OR(AND(D97="Поступление",M97&lt;&gt;"Входящий платёж"),AND(D97="Выплата",M97&lt;&gt;"Не рассмотрено",M97&lt;&gt;"Коллегия одобрила",M97&lt;&gt;"Проверено к оплате")),"Ошибка: согласование",IF(L97=0,"Закрыто",IF(NOT(ISNUMBER(I97)),"Ошибка: нет даты",IF(OR(I97&lt;'Сверка'!$D$4,I97&lt;&gt;INT(I97)),"Ошибка: обновите дату","В прогнозе")))))))))))</x:f>
      </x:c>
      <x:c r="Q97" s="25" t="n">
        <x:f>IF(ISERROR(P97),1,IF(OR(P97="В прогнозе",P97="Закрыто",P97=""),0,1))</x:f>
        <x:v>0</x:v>
      </x:c>
    </x:row>
    <x:row r="98" ht="24" customHeight="1">
      <x:c r="C98" s="7"/>
      <x:c r="D98" s="7"/>
      <x:c r="E98" s="7"/>
      <x:c r="F98" s="7"/>
      <x:c r="G98" s="7"/>
      <x:c r="H98" s="8"/>
      <x:c r="I98" s="8"/>
      <x:c r="J98" s="26"/>
      <x:c r="K98" s="26"/>
      <x:c r="L98" s="27" t="str">
        <x:f>IF(COUNTA(C98:K98)+COUNTA(M98:O98)=0,"",IF(AND(ISNUMBER(J98),ISNUMBER(K98),J98&gt;=0,K98&gt;=0,K98&lt;=J98),ROUND(J98-K98,2),""))</x:f>
      </x:c>
      <x:c r="M98" s="7"/>
      <x:c r="N98" s="7"/>
      <x:c r="O98" s="7"/>
      <x:c r="P98" s="2" t="str">
        <x:f>IF(COUNTA(C98:K98)+COUNTA(M98:O98)=0,"",IF(OR(C98="",E98="",F98="",G98="",N98=""),"Ошибка: заполните поля",IF(COUNTIFS($C$10:$C$109,C98)&gt;1,"Ошибка: повтор ID",IF(AND(D98&lt;&gt;"Поступление",D98&lt;&gt;"Выплата"),"Ошибка: тип",IF(OR(NOT(ISNUMBER(J98)),NOT(ISNUMBER(K98))),"Ошибка: нет суммы",IF(OR(J98&lt;0,K98&lt;0,K98&gt;J98,ABS(J98-ROUND(J98,2))&gt;0.0000001,ABS(K98-ROUND(K98,2))&gt;0.0000001),"Ошибка: суммы",IF(AND(H98&lt;&gt;"",NOT(ISNUMBER(H98))),"Ошибка: срок",IF(OR(AND(D98="Поступление",M98&lt;&gt;"Входящий платёж"),AND(D98="Выплата",M98&lt;&gt;"Не рассмотрено",M98&lt;&gt;"Коллегия одобрила",M98&lt;&gt;"Проверено к оплате")),"Ошибка: согласование",IF(L98=0,"Закрыто",IF(NOT(ISNUMBER(I98)),"Ошибка: нет даты",IF(OR(I98&lt;'Сверка'!$D$4,I98&lt;&gt;INT(I98)),"Ошибка: обновите дату","В прогнозе")))))))))))</x:f>
      </x:c>
      <x:c r="Q98" s="25" t="n">
        <x:f>IF(ISERROR(P98),1,IF(OR(P98="В прогнозе",P98="Закрыто",P98=""),0,1))</x:f>
        <x:v>0</x:v>
      </x:c>
    </x:row>
    <x:row r="99" ht="24" customHeight="1">
      <x:c r="C99" s="7"/>
      <x:c r="D99" s="7"/>
      <x:c r="E99" s="7"/>
      <x:c r="F99" s="7"/>
      <x:c r="G99" s="7"/>
      <x:c r="H99" s="8"/>
      <x:c r="I99" s="8"/>
      <x:c r="J99" s="26"/>
      <x:c r="K99" s="26"/>
      <x:c r="L99" s="27" t="str">
        <x:f>IF(COUNTA(C99:K99)+COUNTA(M99:O99)=0,"",IF(AND(ISNUMBER(J99),ISNUMBER(K99),J99&gt;=0,K99&gt;=0,K99&lt;=J99),ROUND(J99-K99,2),""))</x:f>
      </x:c>
      <x:c r="M99" s="7"/>
      <x:c r="N99" s="7"/>
      <x:c r="O99" s="7"/>
      <x:c r="P99" s="2" t="str">
        <x:f>IF(COUNTA(C99:K99)+COUNTA(M99:O99)=0,"",IF(OR(C99="",E99="",F99="",G99="",N99=""),"Ошибка: заполните поля",IF(COUNTIFS($C$10:$C$109,C99)&gt;1,"Ошибка: повтор ID",IF(AND(D99&lt;&gt;"Поступление",D99&lt;&gt;"Выплата"),"Ошибка: тип",IF(OR(NOT(ISNUMBER(J99)),NOT(ISNUMBER(K99))),"Ошибка: нет суммы",IF(OR(J99&lt;0,K99&lt;0,K99&gt;J99,ABS(J99-ROUND(J99,2))&gt;0.0000001,ABS(K99-ROUND(K99,2))&gt;0.0000001),"Ошибка: суммы",IF(AND(H99&lt;&gt;"",NOT(ISNUMBER(H99))),"Ошибка: срок",IF(OR(AND(D99="Поступление",M99&lt;&gt;"Входящий платёж"),AND(D99="Выплата",M99&lt;&gt;"Не рассмотрено",M99&lt;&gt;"Коллегия одобрила",M99&lt;&gt;"Проверено к оплате")),"Ошибка: согласование",IF(L99=0,"Закрыто",IF(NOT(ISNUMBER(I99)),"Ошибка: нет даты",IF(OR(I99&lt;'Сверка'!$D$4,I99&lt;&gt;INT(I99)),"Ошибка: обновите дату","В прогнозе")))))))))))</x:f>
      </x:c>
      <x:c r="Q99" s="25" t="n">
        <x:f>IF(ISERROR(P99),1,IF(OR(P99="В прогнозе",P99="Закрыто",P99=""),0,1))</x:f>
        <x:v>0</x:v>
      </x:c>
    </x:row>
    <x:row r="100" ht="24" customHeight="1">
      <x:c r="C100" s="7"/>
      <x:c r="D100" s="7"/>
      <x:c r="E100" s="7"/>
      <x:c r="F100" s="7"/>
      <x:c r="G100" s="7"/>
      <x:c r="H100" s="8"/>
      <x:c r="I100" s="8"/>
      <x:c r="J100" s="26"/>
      <x:c r="K100" s="26"/>
      <x:c r="L100" s="27" t="str">
        <x:f>IF(COUNTA(C100:K100)+COUNTA(M100:O100)=0,"",IF(AND(ISNUMBER(J100),ISNUMBER(K100),J100&gt;=0,K100&gt;=0,K100&lt;=J100),ROUND(J100-K100,2),""))</x:f>
      </x:c>
      <x:c r="M100" s="7"/>
      <x:c r="N100" s="7"/>
      <x:c r="O100" s="7"/>
      <x:c r="P100" s="2" t="str">
        <x:f>IF(COUNTA(C100:K100)+COUNTA(M100:O100)=0,"",IF(OR(C100="",E100="",F100="",G100="",N100=""),"Ошибка: заполните поля",IF(COUNTIFS($C$10:$C$109,C100)&gt;1,"Ошибка: повтор ID",IF(AND(D100&lt;&gt;"Поступление",D100&lt;&gt;"Выплата"),"Ошибка: тип",IF(OR(NOT(ISNUMBER(J100)),NOT(ISNUMBER(K100))),"Ошибка: нет суммы",IF(OR(J100&lt;0,K100&lt;0,K100&gt;J100,ABS(J100-ROUND(J100,2))&gt;0.0000001,ABS(K100-ROUND(K100,2))&gt;0.0000001),"Ошибка: суммы",IF(AND(H100&lt;&gt;"",NOT(ISNUMBER(H100))),"Ошибка: срок",IF(OR(AND(D100="Поступление",M100&lt;&gt;"Входящий платёж"),AND(D100="Выплата",M100&lt;&gt;"Не рассмотрено",M100&lt;&gt;"Коллегия одобрила",M100&lt;&gt;"Проверено к оплате")),"Ошибка: согласование",IF(L100=0,"Закрыто",IF(NOT(ISNUMBER(I100)),"Ошибка: нет даты",IF(OR(I100&lt;'Сверка'!$D$4,I100&lt;&gt;INT(I100)),"Ошибка: обновите дату","В прогнозе")))))))))))</x:f>
      </x:c>
      <x:c r="Q100" s="25" t="n">
        <x:f>IF(ISERROR(P100),1,IF(OR(P100="В прогнозе",P100="Закрыто",P100=""),0,1))</x:f>
        <x:v>0</x:v>
      </x:c>
    </x:row>
    <x:row r="101" ht="24" customHeight="1">
      <x:c r="C101" s="7"/>
      <x:c r="D101" s="7"/>
      <x:c r="E101" s="7"/>
      <x:c r="F101" s="7"/>
      <x:c r="G101" s="7"/>
      <x:c r="H101" s="8"/>
      <x:c r="I101" s="8"/>
      <x:c r="J101" s="26"/>
      <x:c r="K101" s="26"/>
      <x:c r="L101" s="27" t="str">
        <x:f>IF(COUNTA(C101:K101)+COUNTA(M101:O101)=0,"",IF(AND(ISNUMBER(J101),ISNUMBER(K101),J101&gt;=0,K101&gt;=0,K101&lt;=J101),ROUND(J101-K101,2),""))</x:f>
      </x:c>
      <x:c r="M101" s="7"/>
      <x:c r="N101" s="7"/>
      <x:c r="O101" s="7"/>
      <x:c r="P101" s="2" t="str">
        <x:f>IF(COUNTA(C101:K101)+COUNTA(M101:O101)=0,"",IF(OR(C101="",E101="",F101="",G101="",N101=""),"Ошибка: заполните поля",IF(COUNTIFS($C$10:$C$109,C101)&gt;1,"Ошибка: повтор ID",IF(AND(D101&lt;&gt;"Поступление",D101&lt;&gt;"Выплата"),"Ошибка: тип",IF(OR(NOT(ISNUMBER(J101)),NOT(ISNUMBER(K101))),"Ошибка: нет суммы",IF(OR(J101&lt;0,K101&lt;0,K101&gt;J101,ABS(J101-ROUND(J101,2))&gt;0.0000001,ABS(K101-ROUND(K101,2))&gt;0.0000001),"Ошибка: суммы",IF(AND(H101&lt;&gt;"",NOT(ISNUMBER(H101))),"Ошибка: срок",IF(OR(AND(D101="Поступление",M101&lt;&gt;"Входящий платёж"),AND(D101="Выплата",M101&lt;&gt;"Не рассмотрено",M101&lt;&gt;"Коллегия одобрила",M101&lt;&gt;"Проверено к оплате")),"Ошибка: согласование",IF(L101=0,"Закрыто",IF(NOT(ISNUMBER(I101)),"Ошибка: нет даты",IF(OR(I101&lt;'Сверка'!$D$4,I101&lt;&gt;INT(I101)),"Ошибка: обновите дату","В прогнозе")))))))))))</x:f>
      </x:c>
      <x:c r="Q101" s="25" t="n">
        <x:f>IF(ISERROR(P101),1,IF(OR(P101="В прогнозе",P101="Закрыто",P101=""),0,1))</x:f>
        <x:v>0</x:v>
      </x:c>
    </x:row>
    <x:row r="102" ht="24" customHeight="1">
      <x:c r="C102" s="7"/>
      <x:c r="D102" s="7"/>
      <x:c r="E102" s="7"/>
      <x:c r="F102" s="7"/>
      <x:c r="G102" s="7"/>
      <x:c r="H102" s="8"/>
      <x:c r="I102" s="8"/>
      <x:c r="J102" s="26"/>
      <x:c r="K102" s="26"/>
      <x:c r="L102" s="27" t="str">
        <x:f>IF(COUNTA(C102:K102)+COUNTA(M102:O102)=0,"",IF(AND(ISNUMBER(J102),ISNUMBER(K102),J102&gt;=0,K102&gt;=0,K102&lt;=J102),ROUND(J102-K102,2),""))</x:f>
      </x:c>
      <x:c r="M102" s="7"/>
      <x:c r="N102" s="7"/>
      <x:c r="O102" s="7"/>
      <x:c r="P102" s="2" t="str">
        <x:f>IF(COUNTA(C102:K102)+COUNTA(M102:O102)=0,"",IF(OR(C102="",E102="",F102="",G102="",N102=""),"Ошибка: заполните поля",IF(COUNTIFS($C$10:$C$109,C102)&gt;1,"Ошибка: повтор ID",IF(AND(D102&lt;&gt;"Поступление",D102&lt;&gt;"Выплата"),"Ошибка: тип",IF(OR(NOT(ISNUMBER(J102)),NOT(ISNUMBER(K102))),"Ошибка: нет суммы",IF(OR(J102&lt;0,K102&lt;0,K102&gt;J102,ABS(J102-ROUND(J102,2))&gt;0.0000001,ABS(K102-ROUND(K102,2))&gt;0.0000001),"Ошибка: суммы",IF(AND(H102&lt;&gt;"",NOT(ISNUMBER(H102))),"Ошибка: срок",IF(OR(AND(D102="Поступление",M102&lt;&gt;"Входящий платёж"),AND(D102="Выплата",M102&lt;&gt;"Не рассмотрено",M102&lt;&gt;"Коллегия одобрила",M102&lt;&gt;"Проверено к оплате")),"Ошибка: согласование",IF(L102=0,"Закрыто",IF(NOT(ISNUMBER(I102)),"Ошибка: нет даты",IF(OR(I102&lt;'Сверка'!$D$4,I102&lt;&gt;INT(I102)),"Ошибка: обновите дату","В прогнозе")))))))))))</x:f>
      </x:c>
      <x:c r="Q102" s="25" t="n">
        <x:f>IF(ISERROR(P102),1,IF(OR(P102="В прогнозе",P102="Закрыто",P102=""),0,1))</x:f>
        <x:v>0</x:v>
      </x:c>
    </x:row>
    <x:row r="103" ht="24" customHeight="1">
      <x:c r="C103" s="7"/>
      <x:c r="D103" s="7"/>
      <x:c r="E103" s="7"/>
      <x:c r="F103" s="7"/>
      <x:c r="G103" s="7"/>
      <x:c r="H103" s="8"/>
      <x:c r="I103" s="8"/>
      <x:c r="J103" s="26"/>
      <x:c r="K103" s="26"/>
      <x:c r="L103" s="27" t="str">
        <x:f>IF(COUNTA(C103:K103)+COUNTA(M103:O103)=0,"",IF(AND(ISNUMBER(J103),ISNUMBER(K103),J103&gt;=0,K103&gt;=0,K103&lt;=J103),ROUND(J103-K103,2),""))</x:f>
      </x:c>
      <x:c r="M103" s="7"/>
      <x:c r="N103" s="7"/>
      <x:c r="O103" s="7"/>
      <x:c r="P103" s="2" t="str">
        <x:f>IF(COUNTA(C103:K103)+COUNTA(M103:O103)=0,"",IF(OR(C103="",E103="",F103="",G103="",N103=""),"Ошибка: заполните поля",IF(COUNTIFS($C$10:$C$109,C103)&gt;1,"Ошибка: повтор ID",IF(AND(D103&lt;&gt;"Поступление",D103&lt;&gt;"Выплата"),"Ошибка: тип",IF(OR(NOT(ISNUMBER(J103)),NOT(ISNUMBER(K103))),"Ошибка: нет суммы",IF(OR(J103&lt;0,K103&lt;0,K103&gt;J103,ABS(J103-ROUND(J103,2))&gt;0.0000001,ABS(K103-ROUND(K103,2))&gt;0.0000001),"Ошибка: суммы",IF(AND(H103&lt;&gt;"",NOT(ISNUMBER(H103))),"Ошибка: срок",IF(OR(AND(D103="Поступление",M103&lt;&gt;"Входящий платёж"),AND(D103="Выплата",M103&lt;&gt;"Не рассмотрено",M103&lt;&gt;"Коллегия одобрила",M103&lt;&gt;"Проверено к оплате")),"Ошибка: согласование",IF(L103=0,"Закрыто",IF(NOT(ISNUMBER(I103)),"Ошибка: нет даты",IF(OR(I103&lt;'Сверка'!$D$4,I103&lt;&gt;INT(I103)),"Ошибка: обновите дату","В прогнозе")))))))))))</x:f>
      </x:c>
      <x:c r="Q103" s="25" t="n">
        <x:f>IF(ISERROR(P103),1,IF(OR(P103="В прогнозе",P103="Закрыто",P103=""),0,1))</x:f>
        <x:v>0</x:v>
      </x:c>
    </x:row>
    <x:row r="104" ht="24" customHeight="1">
      <x:c r="C104" s="7"/>
      <x:c r="D104" s="7"/>
      <x:c r="E104" s="7"/>
      <x:c r="F104" s="7"/>
      <x:c r="G104" s="7"/>
      <x:c r="H104" s="8"/>
      <x:c r="I104" s="8"/>
      <x:c r="J104" s="26"/>
      <x:c r="K104" s="26"/>
      <x:c r="L104" s="27" t="str">
        <x:f>IF(COUNTA(C104:K104)+COUNTA(M104:O104)=0,"",IF(AND(ISNUMBER(J104),ISNUMBER(K104),J104&gt;=0,K104&gt;=0,K104&lt;=J104),ROUND(J104-K104,2),""))</x:f>
      </x:c>
      <x:c r="M104" s="7"/>
      <x:c r="N104" s="7"/>
      <x:c r="O104" s="7"/>
      <x:c r="P104" s="2" t="str">
        <x:f>IF(COUNTA(C104:K104)+COUNTA(M104:O104)=0,"",IF(OR(C104="",E104="",F104="",G104="",N104=""),"Ошибка: заполните поля",IF(COUNTIFS($C$10:$C$109,C104)&gt;1,"Ошибка: повтор ID",IF(AND(D104&lt;&gt;"Поступление",D104&lt;&gt;"Выплата"),"Ошибка: тип",IF(OR(NOT(ISNUMBER(J104)),NOT(ISNUMBER(K104))),"Ошибка: нет суммы",IF(OR(J104&lt;0,K104&lt;0,K104&gt;J104,ABS(J104-ROUND(J104,2))&gt;0.0000001,ABS(K104-ROUND(K104,2))&gt;0.0000001),"Ошибка: суммы",IF(AND(H104&lt;&gt;"",NOT(ISNUMBER(H104))),"Ошибка: срок",IF(OR(AND(D104="Поступление",M104&lt;&gt;"Входящий платёж"),AND(D104="Выплата",M104&lt;&gt;"Не рассмотрено",M104&lt;&gt;"Коллегия одобрила",M104&lt;&gt;"Проверено к оплате")),"Ошибка: согласование",IF(L104=0,"Закрыто",IF(NOT(ISNUMBER(I104)),"Ошибка: нет даты",IF(OR(I104&lt;'Сверка'!$D$4,I104&lt;&gt;INT(I104)),"Ошибка: обновите дату","В прогнозе")))))))))))</x:f>
      </x:c>
      <x:c r="Q104" s="25" t="n">
        <x:f>IF(ISERROR(P104),1,IF(OR(P104="В прогнозе",P104="Закрыто",P104=""),0,1))</x:f>
        <x:v>0</x:v>
      </x:c>
    </x:row>
    <x:row r="105" ht="24" customHeight="1">
      <x:c r="C105" s="7"/>
      <x:c r="D105" s="7"/>
      <x:c r="E105" s="7"/>
      <x:c r="F105" s="7"/>
      <x:c r="G105" s="7"/>
      <x:c r="H105" s="8"/>
      <x:c r="I105" s="8"/>
      <x:c r="J105" s="26"/>
      <x:c r="K105" s="26"/>
      <x:c r="L105" s="27" t="str">
        <x:f>IF(COUNTA(C105:K105)+COUNTA(M105:O105)=0,"",IF(AND(ISNUMBER(J105),ISNUMBER(K105),J105&gt;=0,K105&gt;=0,K105&lt;=J105),ROUND(J105-K105,2),""))</x:f>
      </x:c>
      <x:c r="M105" s="7"/>
      <x:c r="N105" s="7"/>
      <x:c r="O105" s="7"/>
      <x:c r="P105" s="2" t="str">
        <x:f>IF(COUNTA(C105:K105)+COUNTA(M105:O105)=0,"",IF(OR(C105="",E105="",F105="",G105="",N105=""),"Ошибка: заполните поля",IF(COUNTIFS($C$10:$C$109,C105)&gt;1,"Ошибка: повтор ID",IF(AND(D105&lt;&gt;"Поступление",D105&lt;&gt;"Выплата"),"Ошибка: тип",IF(OR(NOT(ISNUMBER(J105)),NOT(ISNUMBER(K105))),"Ошибка: нет суммы",IF(OR(J105&lt;0,K105&lt;0,K105&gt;J105,ABS(J105-ROUND(J105,2))&gt;0.0000001,ABS(K105-ROUND(K105,2))&gt;0.0000001),"Ошибка: суммы",IF(AND(H105&lt;&gt;"",NOT(ISNUMBER(H105))),"Ошибка: срок",IF(OR(AND(D105="Поступление",M105&lt;&gt;"Входящий платёж"),AND(D105="Выплата",M105&lt;&gt;"Не рассмотрено",M105&lt;&gt;"Коллегия одобрила",M105&lt;&gt;"Проверено к оплате")),"Ошибка: согласование",IF(L105=0,"Закрыто",IF(NOT(ISNUMBER(I105)),"Ошибка: нет даты",IF(OR(I105&lt;'Сверка'!$D$4,I105&lt;&gt;INT(I105)),"Ошибка: обновите дату","В прогнозе")))))))))))</x:f>
      </x:c>
      <x:c r="Q105" s="25" t="n">
        <x:f>IF(ISERROR(P105),1,IF(OR(P105="В прогнозе",P105="Закрыто",P105=""),0,1))</x:f>
        <x:v>0</x:v>
      </x:c>
    </x:row>
    <x:row r="106" ht="24" customHeight="1">
      <x:c r="C106" s="7"/>
      <x:c r="D106" s="7"/>
      <x:c r="E106" s="7"/>
      <x:c r="F106" s="7"/>
      <x:c r="G106" s="7"/>
      <x:c r="H106" s="8"/>
      <x:c r="I106" s="8"/>
      <x:c r="J106" s="26"/>
      <x:c r="K106" s="26"/>
      <x:c r="L106" s="27" t="str">
        <x:f>IF(COUNTA(C106:K106)+COUNTA(M106:O106)=0,"",IF(AND(ISNUMBER(J106),ISNUMBER(K106),J106&gt;=0,K106&gt;=0,K106&lt;=J106),ROUND(J106-K106,2),""))</x:f>
      </x:c>
      <x:c r="M106" s="7"/>
      <x:c r="N106" s="7"/>
      <x:c r="O106" s="7"/>
      <x:c r="P106" s="2" t="str">
        <x:f>IF(COUNTA(C106:K106)+COUNTA(M106:O106)=0,"",IF(OR(C106="",E106="",F106="",G106="",N106=""),"Ошибка: заполните поля",IF(COUNTIFS($C$10:$C$109,C106)&gt;1,"Ошибка: повтор ID",IF(AND(D106&lt;&gt;"Поступление",D106&lt;&gt;"Выплата"),"Ошибка: тип",IF(OR(NOT(ISNUMBER(J106)),NOT(ISNUMBER(K106))),"Ошибка: нет суммы",IF(OR(J106&lt;0,K106&lt;0,K106&gt;J106,ABS(J106-ROUND(J106,2))&gt;0.0000001,ABS(K106-ROUND(K106,2))&gt;0.0000001),"Ошибка: суммы",IF(AND(H106&lt;&gt;"",NOT(ISNUMBER(H106))),"Ошибка: срок",IF(OR(AND(D106="Поступление",M106&lt;&gt;"Входящий платёж"),AND(D106="Выплата",M106&lt;&gt;"Не рассмотрено",M106&lt;&gt;"Коллегия одобрила",M106&lt;&gt;"Проверено к оплате")),"Ошибка: согласование",IF(L106=0,"Закрыто",IF(NOT(ISNUMBER(I106)),"Ошибка: нет даты",IF(OR(I106&lt;'Сверка'!$D$4,I106&lt;&gt;INT(I106)),"Ошибка: обновите дату","В прогнозе")))))))))))</x:f>
      </x:c>
      <x:c r="Q106" s="25" t="n">
        <x:f>IF(ISERROR(P106),1,IF(OR(P106="В прогнозе",P106="Закрыто",P106=""),0,1))</x:f>
        <x:v>0</x:v>
      </x:c>
    </x:row>
    <x:row r="107" ht="24" customHeight="1">
      <x:c r="C107" s="7"/>
      <x:c r="D107" s="7"/>
      <x:c r="E107" s="7"/>
      <x:c r="F107" s="7"/>
      <x:c r="G107" s="7"/>
      <x:c r="H107" s="8"/>
      <x:c r="I107" s="8"/>
      <x:c r="J107" s="26"/>
      <x:c r="K107" s="26"/>
      <x:c r="L107" s="27" t="str">
        <x:f>IF(COUNTA(C107:K107)+COUNTA(M107:O107)=0,"",IF(AND(ISNUMBER(J107),ISNUMBER(K107),J107&gt;=0,K107&gt;=0,K107&lt;=J107),ROUND(J107-K107,2),""))</x:f>
      </x:c>
      <x:c r="M107" s="7"/>
      <x:c r="N107" s="7"/>
      <x:c r="O107" s="7"/>
      <x:c r="P107" s="2" t="str">
        <x:f>IF(COUNTA(C107:K107)+COUNTA(M107:O107)=0,"",IF(OR(C107="",E107="",F107="",G107="",N107=""),"Ошибка: заполните поля",IF(COUNTIFS($C$10:$C$109,C107)&gt;1,"Ошибка: повтор ID",IF(AND(D107&lt;&gt;"Поступление",D107&lt;&gt;"Выплата"),"Ошибка: тип",IF(OR(NOT(ISNUMBER(J107)),NOT(ISNUMBER(K107))),"Ошибка: нет суммы",IF(OR(J107&lt;0,K107&lt;0,K107&gt;J107,ABS(J107-ROUND(J107,2))&gt;0.0000001,ABS(K107-ROUND(K107,2))&gt;0.0000001),"Ошибка: суммы",IF(AND(H107&lt;&gt;"",NOT(ISNUMBER(H107))),"Ошибка: срок",IF(OR(AND(D107="Поступление",M107&lt;&gt;"Входящий платёж"),AND(D107="Выплата",M107&lt;&gt;"Не рассмотрено",M107&lt;&gt;"Коллегия одобрила",M107&lt;&gt;"Проверено к оплате")),"Ошибка: согласование",IF(L107=0,"Закрыто",IF(NOT(ISNUMBER(I107)),"Ошибка: нет даты",IF(OR(I107&lt;'Сверка'!$D$4,I107&lt;&gt;INT(I107)),"Ошибка: обновите дату","В прогнозе")))))))))))</x:f>
      </x:c>
      <x:c r="Q107" s="25" t="n">
        <x:f>IF(ISERROR(P107),1,IF(OR(P107="В прогнозе",P107="Закрыто",P107=""),0,1))</x:f>
        <x:v>0</x:v>
      </x:c>
    </x:row>
    <x:row r="108" ht="24" customHeight="1">
      <x:c r="C108" s="7"/>
      <x:c r="D108" s="7"/>
      <x:c r="E108" s="7"/>
      <x:c r="F108" s="7"/>
      <x:c r="G108" s="7"/>
      <x:c r="H108" s="8"/>
      <x:c r="I108" s="8"/>
      <x:c r="J108" s="26"/>
      <x:c r="K108" s="26"/>
      <x:c r="L108" s="27" t="str">
        <x:f>IF(COUNTA(C108:K108)+COUNTA(M108:O108)=0,"",IF(AND(ISNUMBER(J108),ISNUMBER(K108),J108&gt;=0,K108&gt;=0,K108&lt;=J108),ROUND(J108-K108,2),""))</x:f>
      </x:c>
      <x:c r="M108" s="7"/>
      <x:c r="N108" s="7"/>
      <x:c r="O108" s="7"/>
      <x:c r="P108" s="2" t="str">
        <x:f>IF(COUNTA(C108:K108)+COUNTA(M108:O108)=0,"",IF(OR(C108="",E108="",F108="",G108="",N108=""),"Ошибка: заполните поля",IF(COUNTIFS($C$10:$C$109,C108)&gt;1,"Ошибка: повтор ID",IF(AND(D108&lt;&gt;"Поступление",D108&lt;&gt;"Выплата"),"Ошибка: тип",IF(OR(NOT(ISNUMBER(J108)),NOT(ISNUMBER(K108))),"Ошибка: нет суммы",IF(OR(J108&lt;0,K108&lt;0,K108&gt;J108,ABS(J108-ROUND(J108,2))&gt;0.0000001,ABS(K108-ROUND(K108,2))&gt;0.0000001),"Ошибка: суммы",IF(AND(H108&lt;&gt;"",NOT(ISNUMBER(H108))),"Ошибка: срок",IF(OR(AND(D108="Поступление",M108&lt;&gt;"Входящий платёж"),AND(D108="Выплата",M108&lt;&gt;"Не рассмотрено",M108&lt;&gt;"Коллегия одобрила",M108&lt;&gt;"Проверено к оплате")),"Ошибка: согласование",IF(L108=0,"Закрыто",IF(NOT(ISNUMBER(I108)),"Ошибка: нет даты",IF(OR(I108&lt;'Сверка'!$D$4,I108&lt;&gt;INT(I108)),"Ошибка: обновите дату","В прогнозе")))))))))))</x:f>
      </x:c>
      <x:c r="Q108" s="25" t="n">
        <x:f>IF(ISERROR(P108),1,IF(OR(P108="В прогнозе",P108="Закрыто",P108=""),0,1))</x:f>
        <x:v>0</x:v>
      </x:c>
    </x:row>
    <x:row r="109" ht="24" customHeight="1">
      <x:c r="C109" s="7"/>
      <x:c r="D109" s="7"/>
      <x:c r="E109" s="7"/>
      <x:c r="F109" s="7"/>
      <x:c r="G109" s="7"/>
      <x:c r="H109" s="8"/>
      <x:c r="I109" s="8"/>
      <x:c r="J109" s="26"/>
      <x:c r="K109" s="26"/>
      <x:c r="L109" s="27" t="str">
        <x:f>IF(COUNTA(C109:K109)+COUNTA(M109:O109)=0,"",IF(AND(ISNUMBER(J109),ISNUMBER(K109),J109&gt;=0,K109&gt;=0,K109&lt;=J109),ROUND(J109-K109,2),""))</x:f>
      </x:c>
      <x:c r="M109" s="7"/>
      <x:c r="N109" s="7"/>
      <x:c r="O109" s="7"/>
      <x:c r="P109" s="2" t="str">
        <x:f>IF(COUNTA(C109:K109)+COUNTA(M109:O109)=0,"",IF(OR(C109="",E109="",F109="",G109="",N109=""),"Ошибка: заполните поля",IF(COUNTIFS($C$10:$C$109,C109)&gt;1,"Ошибка: повтор ID",IF(AND(D109&lt;&gt;"Поступление",D109&lt;&gt;"Выплата"),"Ошибка: тип",IF(OR(NOT(ISNUMBER(J109)),NOT(ISNUMBER(K109))),"Ошибка: нет суммы",IF(OR(J109&lt;0,K109&lt;0,K109&gt;J109,ABS(J109-ROUND(J109,2))&gt;0.0000001,ABS(K109-ROUND(K109,2))&gt;0.0000001),"Ошибка: суммы",IF(AND(H109&lt;&gt;"",NOT(ISNUMBER(H109))),"Ошибка: срок",IF(OR(AND(D109="Поступление",M109&lt;&gt;"Входящий платёж"),AND(D109="Выплата",M109&lt;&gt;"Не рассмотрено",M109&lt;&gt;"Коллегия одобрила",M109&lt;&gt;"Проверено к оплате")),"Ошибка: согласование",IF(L109=0,"Закрыто",IF(NOT(ISNUMBER(I109)),"Ошибка: нет даты",IF(OR(I109&lt;'Сверка'!$D$4,I109&lt;&gt;INT(I109)),"Ошибка: обновите дату","В прогнозе")))))))))))</x:f>
      </x:c>
      <x:c r="Q109" s="25" t="n">
        <x:f>IF(ISERROR(P109),1,IF(OR(P109="В прогнозе",P109="Закрыто",P109=""),0,1))</x:f>
        <x:v>0</x:v>
      </x:c>
    </x:row>
  </x:sheetData>
  <x:conditionalFormatting sqref="P10:P109">
    <x:cfRule type="beginsWith" dxfId="1" priority="1" operator="beginsWith" text="Ошибка"/>
  </x:conditionalFormatting>
  <x:conditionalFormatting sqref="I10:I109">
    <x:cfRule type="expression" dxfId="2" priority="2">
      <x:formula>AND(ISNUMBER(H10),ISNUMBER(I10),I10&gt;H10,L10&gt;0)</x:formula>
    </x:cfRule>
  </x:conditionalFormatting>
  <x:dataValidations count="2">
    <x:dataValidation type="list" sqref="D10:D109">
      <x:formula1>"Поступление,Выплата"</x:formula1>
    </x:dataValidation>
    <x:dataValidation type="list" sqref="M10:M109">
      <x:formula1>"Входящий платёж,Не рассмотрено,Коллегия одобрила,Проверено к оплате"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C9AF75"/>
  </x:sheetPr>
  <x:sheetViews>
    <x:sheetView showGridLines="0" workbookViewId="0"/>
  </x:sheetViews>
  <x:sheetFormatPr defaultRowHeight="15"/>
  <x:cols>
    <x:col min="1" max="1" width="2.299999952316284" hidden="0" customWidth="1"/>
    <x:col min="2" max="2" width="2.299999952316284" hidden="0" customWidth="1"/>
    <x:col min="3" max="3" width="29" hidden="0" customWidth="1"/>
    <x:col min="4" max="4" width="19" hidden="0" customWidth="1"/>
    <x:col min="5" max="5" width="19" hidden="0" customWidth="1"/>
    <x:col min="6" max="6" width="19" hidden="0" customWidth="1"/>
    <x:col min="7" max="7" width="31" hidden="0" customWidth="1"/>
    <x:col min="8" max="8" width="3" hidden="0" customWidth="1"/>
    <x:col min="9" max="9" width="19" hidden="0" customWidth="1"/>
    <x:col min="10" max="10" width="19" hidden="0" customWidth="1"/>
    <x:col min="11" max="11" width="19" hidden="0" customWidth="1"/>
    <x:col min="12" max="12" width="19" hidden="0" customWidth="1"/>
  </x:cols>
  <x:sheetData>
    <x:row r="2" ht="30" customHeight="1">
      <x:c r="C2" s="3" t="str">
        <x:v>Профит в кармане · Сверка остатков</x:v>
      </x:c>
      <x:c r="D2" s="2"/>
      <x:c r="E2" s="2"/>
      <x:c r="F2" s="2"/>
      <x:c r="G2" s="2"/>
      <x:c r="H2" s="2"/>
      <x:c r="I2" s="2"/>
      <x:c r="J2" s="2"/>
      <x:c r="K2" s="2"/>
      <x:c r="L2" s="2"/>
    </x:row>
    <x:row r="3" ht="24" customHeight="1"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5"/>
      <x:c r="N3" s="5"/>
      <x:c r="O3" s="5"/>
      <x:c r="P3" s="5"/>
    </x:row>
    <x:row r="4" ht="24" customHeight="1">
      <x:c r="C4" s="2" t="str">
        <x:v>Начало первой недели</x:v>
      </x:c>
      <x:c r="D4" s="8" t="n">
        <x:v>46279</x:v>
      </x:c>
      <x:c r="E4" s="2"/>
      <x:c r="F4" s="2"/>
      <x:c r="G4" s="2"/>
      <x:c r="H4" s="2"/>
      <x:c r="I4" s="2"/>
      <x:c r="J4" s="2"/>
      <x:c r="K4" s="2"/>
      <x:c r="L4" s="2"/>
    </x:row>
    <x:row r="5" ht="24" customHeight="1">
      <x:c r="C5" s="2" t="str">
        <x:v>Срез факта</x:v>
      </x:c>
      <x:c r="D5" s="9" t="str">
        <x:v>На начало указанного дня, до новых операций</x:v>
      </x:c>
      <x:c r="E5" s="2"/>
      <x:c r="F5" s="2"/>
      <x:c r="G5" s="2"/>
      <x:c r="H5" s="2"/>
      <x:c r="I5" s="2"/>
      <x:c r="J5" s="2"/>
      <x:c r="K5" s="2"/>
      <x:c r="L5" s="2"/>
    </x:row>
    <x:row r="6" ht="24" customHeight="1"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4" customHeight="1">
      <x:c r="C7" s="9" t="str">
        <x:v>Учебный пример. Перед работой замените все жёлтые поля данными компании.</x:v>
      </x:c>
      <x:c r="D7" s="2"/>
      <x:c r="E7" s="2"/>
      <x:c r="F7" s="2"/>
      <x:c r="G7" s="2"/>
      <x:c r="H7" s="2"/>
      <x:c r="I7" s="2"/>
      <x:c r="J7" s="2"/>
      <x:c r="K7" s="2"/>
      <x:c r="L7" s="2"/>
    </x:row>
    <x:row r="8" ht="24" customHeight="1"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42" customHeight="1">
      <x:c r="C9" s="14" t="str">
        <x:v>Счёт или касса</x:v>
      </x:c>
      <x:c r="D9" s="15" t="str">
        <x:v>Факт, ₽</x:v>
      </x:c>
      <x:c r="E9" s="15" t="str">
        <x:v>По учёту, ₽</x:v>
      </x:c>
      <x:c r="F9" s="15" t="str">
        <x:v>Факт − учёт, ₽</x:v>
      </x:c>
      <x:c r="G9" s="16" t="str">
        <x:v>Проверка</x:v>
      </x:c>
      <x:c r="H9" s="2"/>
      <x:c r="I9" s="19" t="str">
        <x:v>Как сверять</x:v>
      </x:c>
      <x:c r="J9" s="2"/>
      <x:c r="K9" s="2"/>
      <x:c r="L9" s="2"/>
    </x:row>
    <x:row r="10" ht="24" customHeight="1">
      <x:c r="C10" s="7" t="str">
        <x:v>Расчётный счёт</x:v>
      </x:c>
      <x:c r="D10" s="17" t="n">
        <x:v>80000</x:v>
      </x:c>
      <x:c r="E10" s="17" t="n">
        <x:v>80000</x:v>
      </x:c>
      <x:c r="F10" s="18" t="n">
        <x:f>IF(COUNTA(C10:E10)=0,"",IF(AND(ISNUMBER(D10),ISNUMBER(E10)),ROUND(D10-E10,2),""))</x:f>
        <x:v>0</x:v>
      </x:c>
      <x:c r="G10" s="2" t="str">
        <x:f>IF(COUNTA(C10:E10)=0,"",IF(C10="","Ошибка: нет названия",IF(COUNTIFS($C$10:$C$19,C10)&gt;1,"Ошибка: повтор счёта",IF(OR(NOT(ISNUMBER(D10)),NOT(ISNUMBER(E10))),"Ошибка: нет суммы",IF(OR(D10&lt;0,E10&lt;0,ABS(D10-ROUND(D10,2))&gt;0.0000001,ABS(E10-ROUND(E10,2))&gt;0.0000001),"Ошибка: сумма",IF(ABS(F10)&gt;0.005,"Расхождение","Сверено"))))))</x:f>
        <x:v>Сверено</x:v>
      </x:c>
      <x:c r="H10" s="2"/>
      <x:c r="I10" s="2"/>
      <x:c r="J10" s="2"/>
      <x:c r="K10" s="2"/>
      <x:c r="L10" s="2"/>
    </x:row>
    <x:row r="11" ht="24" customHeight="1">
      <x:c r="C11" s="7" t="str">
        <x:v>Касса</x:v>
      </x:c>
      <x:c r="D11" s="17" t="n">
        <x:v>20000</x:v>
      </x:c>
      <x:c r="E11" s="17" t="n">
        <x:v>20000</x:v>
      </x:c>
      <x:c r="F11" s="18" t="n">
        <x:f>IF(COUNTA(C11:E11)=0,"",IF(AND(ISNUMBER(D11),ISNUMBER(E11)),ROUND(D11-E11,2),""))</x:f>
        <x:v>0</x:v>
      </x:c>
      <x:c r="G11" s="2" t="str">
        <x:f>IF(COUNTA(C11:E11)=0,"",IF(C11="","Ошибка: нет названия",IF(COUNTIFS($C$10:$C$19,C11)&gt;1,"Ошибка: повтор счёта",IF(OR(NOT(ISNUMBER(D11)),NOT(ISNUMBER(E11))),"Ошибка: нет суммы",IF(OR(D11&lt;0,E11&lt;0,ABS(D11-ROUND(D11,2))&gt;0.0000001,ABS(E11-ROUND(E11,2))&gt;0.0000001),"Ошибка: сумма",IF(ABS(F11)&gt;0.005,"Расхождение","Сверено"))))))</x:f>
        <x:v>Сверено</x:v>
      </x:c>
      <x:c r="H11" s="2"/>
      <x:c r="I11" s="9" t="str">
        <x:v>1. Один момент среза для всех счетов.</x:v>
      </x:c>
      <x:c r="J11" s="2"/>
      <x:c r="K11" s="2"/>
      <x:c r="L11" s="2"/>
    </x:row>
    <x:row r="12" ht="24" customHeight="1">
      <x:c r="C12" s="7"/>
      <x:c r="D12" s="17"/>
      <x:c r="E12" s="17"/>
      <x:c r="F12" s="18" t="str">
        <x:f>IF(COUNTA(C12:E12)=0,"",IF(AND(ISNUMBER(D12),ISNUMBER(E12)),ROUND(D12-E12,2),""))</x:f>
      </x:c>
      <x:c r="G12" s="2" t="str">
        <x:f>IF(COUNTA(C12:E12)=0,"",IF(C12="","Ошибка: нет названия",IF(COUNTIFS($C$10:$C$19,C12)&gt;1,"Ошибка: повтор счёта",IF(OR(NOT(ISNUMBER(D12)),NOT(ISNUMBER(E12))),"Ошибка: нет суммы",IF(OR(D12&lt;0,E12&lt;0,ABS(D12-ROUND(D12,2))&gt;0.0000001,ABS(E12-ROUND(E12,2))&gt;0.0000001),"Ошибка: сумма",IF(ABS(F12)&gt;0.005,"Расхождение","Сверено"))))))</x:f>
      </x:c>
      <x:c r="H12" s="2"/>
      <x:c r="I12" s="2"/>
      <x:c r="J12" s="2"/>
      <x:c r="K12" s="2"/>
      <x:c r="L12" s="2"/>
    </x:row>
    <x:row r="13" ht="24" customHeight="1">
      <x:c r="C13" s="7"/>
      <x:c r="D13" s="17"/>
      <x:c r="E13" s="17"/>
      <x:c r="F13" s="18" t="str">
        <x:f>IF(COUNTA(C13:E13)=0,"",IF(AND(ISNUMBER(D13),ISNUMBER(E13)),ROUND(D13-E13,2),""))</x:f>
      </x:c>
      <x:c r="G13" s="2" t="str">
        <x:f>IF(COUNTA(C13:E13)=0,"",IF(C13="","Ошибка: нет названия",IF(COUNTIFS($C$10:$C$19,C13)&gt;1,"Ошибка: повтор счёта",IF(OR(NOT(ISNUMBER(D13)),NOT(ISNUMBER(E13))),"Ошибка: нет суммы",IF(OR(D13&lt;0,E13&lt;0,ABS(D13-ROUND(D13,2))&gt;0.0000001,ABS(E13-ROUND(E13,2))&gt;0.0000001),"Ошибка: сумма",IF(ABS(F13)&gt;0.005,"Расхождение","Сверено"))))))</x:f>
      </x:c>
      <x:c r="H13" s="2"/>
      <x:c r="I13" s="9" t="str">
        <x:v>2. Суммы только в рублях, до копейки.</x:v>
      </x:c>
      <x:c r="J13" s="2"/>
      <x:c r="K13" s="2"/>
      <x:c r="L13" s="2"/>
    </x:row>
    <x:row r="14" ht="24" customHeight="1">
      <x:c r="C14" s="7"/>
      <x:c r="D14" s="17"/>
      <x:c r="E14" s="17"/>
      <x:c r="F14" s="18" t="str">
        <x:f>IF(COUNTA(C14:E14)=0,"",IF(AND(ISNUMBER(D14),ISNUMBER(E14)),ROUND(D14-E14,2),""))</x:f>
      </x:c>
      <x:c r="G14" s="2" t="str">
        <x:f>IF(COUNTA(C14:E14)=0,"",IF(C14="","Ошибка: нет названия",IF(COUNTIFS($C$10:$C$19,C14)&gt;1,"Ошибка: повтор счёта",IF(OR(NOT(ISNUMBER(D14)),NOT(ISNUMBER(E14))),"Ошибка: нет суммы",IF(OR(D14&lt;0,E14&lt;0,ABS(D14-ROUND(D14,2))&gt;0.0000001,ABS(E14-ROUND(E14,2))&gt;0.0000001),"Ошибка: сумма",IF(ABS(F14)&gt;0.005,"Расхождение","Сверено"))))))</x:f>
      </x:c>
      <x:c r="H14" s="2"/>
      <x:c r="I14" s="2"/>
      <x:c r="J14" s="2"/>
      <x:c r="K14" s="2"/>
      <x:c r="L14" s="2"/>
    </x:row>
    <x:row r="15" ht="24" customHeight="1">
      <x:c r="C15" s="7"/>
      <x:c r="D15" s="17"/>
      <x:c r="E15" s="17"/>
      <x:c r="F15" s="18" t="str">
        <x:f>IF(COUNTA(C15:E15)=0,"",IF(AND(ISNUMBER(D15),ISNUMBER(E15)),ROUND(D15-E15,2),""))</x:f>
      </x:c>
      <x:c r="G15" s="2" t="str">
        <x:f>IF(COUNTA(C15:E15)=0,"",IF(C15="","Ошибка: нет названия",IF(COUNTIFS($C$10:$C$19,C15)&gt;1,"Ошибка: повтор счёта",IF(OR(NOT(ISNUMBER(D15)),NOT(ISNUMBER(E15))),"Ошибка: нет суммы",IF(OR(D15&lt;0,E15&lt;0,ABS(D15-ROUND(D15,2))&gt;0.0000001,ABS(E15-ROUND(E15,2))&gt;0.0000001),"Ошибка: сумма",IF(ABS(F15)&gt;0.005,"Расхождение","Сверено"))))))</x:f>
      </x:c>
      <x:c r="H15" s="2"/>
      <x:c r="I15" s="9" t="str">
        <x:v>3. Проверьте каждую строку, не только итог.</x:v>
      </x:c>
      <x:c r="J15" s="2"/>
      <x:c r="K15" s="2"/>
      <x:c r="L15" s="2"/>
    </x:row>
    <x:row r="16" ht="24" customHeight="1">
      <x:c r="C16" s="7"/>
      <x:c r="D16" s="17"/>
      <x:c r="E16" s="17"/>
      <x:c r="F16" s="18" t="str">
        <x:f>IF(COUNTA(C16:E16)=0,"",IF(AND(ISNUMBER(D16),ISNUMBER(E16)),ROUND(D16-E16,2),""))</x:f>
      </x:c>
      <x:c r="G16" s="2" t="str">
        <x:f>IF(COUNTA(C16:E16)=0,"",IF(C16="","Ошибка: нет названия",IF(COUNTIFS($C$10:$C$19,C16)&gt;1,"Ошибка: повтор счёта",IF(OR(NOT(ISNUMBER(D16)),NOT(ISNUMBER(E16))),"Ошибка: нет суммы",IF(OR(D16&lt;0,E16&lt;0,ABS(D16-ROUND(D16,2))&gt;0.0000001,ABS(E16-ROUND(E16,2))&gt;0.0000001),"Ошибка: сумма",IF(ABS(F16)&gt;0.005,"Расхождение","Сверено"))))))</x:f>
      </x:c>
      <x:c r="H16" s="2"/>
      <x:c r="I16" s="2"/>
      <x:c r="J16" s="2"/>
      <x:c r="K16" s="2"/>
      <x:c r="L16" s="2"/>
    </x:row>
    <x:row r="17" ht="24" customHeight="1">
      <x:c r="C17" s="7"/>
      <x:c r="D17" s="17"/>
      <x:c r="E17" s="17"/>
      <x:c r="F17" s="18" t="str">
        <x:f>IF(COUNTA(C17:E17)=0,"",IF(AND(ISNUMBER(D17),ISNUMBER(E17)),ROUND(D17-E17,2),""))</x:f>
      </x:c>
      <x:c r="G17" s="2" t="str">
        <x:f>IF(COUNTA(C17:E17)=0,"",IF(C17="","Ошибка: нет названия",IF(COUNTIFS($C$10:$C$19,C17)&gt;1,"Ошибка: повтор счёта",IF(OR(NOT(ISNUMBER(D17)),NOT(ISNUMBER(E17))),"Ошибка: нет суммы",IF(OR(D17&lt;0,E17&lt;0,ABS(D17-ROUND(D17,2))&gt;0.0000001,ABS(E17-ROUND(E17,2))&gt;0.0000001),"Ошибка: сумма",IF(ABS(F17)&gt;0.005,"Расхождение","Сверено"))))))</x:f>
      </x:c>
      <x:c r="H17" s="2"/>
      <x:c r="I17" s="9" t="str">
        <x:v>4. Овердрафт не записывайте как деньги.</x:v>
      </x:c>
      <x:c r="J17" s="2"/>
      <x:c r="K17" s="2"/>
      <x:c r="L17" s="2"/>
    </x:row>
    <x:row r="18" ht="24" customHeight="1">
      <x:c r="C18" s="7"/>
      <x:c r="D18" s="17"/>
      <x:c r="E18" s="17"/>
      <x:c r="F18" s="18" t="str">
        <x:f>IF(COUNTA(C18:E18)=0,"",IF(AND(ISNUMBER(D18),ISNUMBER(E18)),ROUND(D18-E18,2),""))</x:f>
      </x:c>
      <x:c r="G18" s="2" t="str">
        <x:f>IF(COUNTA(C18:E18)=0,"",IF(C18="","Ошибка: нет названия",IF(COUNTIFS($C$10:$C$19,C18)&gt;1,"Ошибка: повтор счёта",IF(OR(NOT(ISNUMBER(D18)),NOT(ISNUMBER(E18))),"Ошибка: нет суммы",IF(OR(D18&lt;0,E18&lt;0,ABS(D18-ROUND(D18,2))&gt;0.0000001,ABS(E18-ROUND(E18,2))&gt;0.0000001),"Ошибка: сумма",IF(ABS(F18)&gt;0.005,"Расхождение","Сверено"))))))</x:f>
      </x:c>
      <x:c r="H18" s="2"/>
      <x:c r="I18" s="2"/>
      <x:c r="J18" s="2"/>
      <x:c r="K18" s="2"/>
      <x:c r="L18" s="2"/>
    </x:row>
    <x:row r="19" ht="24" customHeight="1">
      <x:c r="C19" s="7"/>
      <x:c r="D19" s="17"/>
      <x:c r="E19" s="17"/>
      <x:c r="F19" s="18" t="str">
        <x:f>IF(COUNTA(C19:E19)=0,"",IF(AND(ISNUMBER(D19),ISNUMBER(E19)),ROUND(D19-E19,2),""))</x:f>
      </x:c>
      <x:c r="G19" s="2" t="str">
        <x:f>IF(COUNTA(C19:E19)=0,"",IF(C19="","Ошибка: нет названия",IF(COUNTIFS($C$10:$C$19,C19)&gt;1,"Ошибка: повтор счёта",IF(OR(NOT(ISNUMBER(D19)),NOT(ISNUMBER(E19))),"Ошибка: нет суммы",IF(OR(D19&lt;0,E19&lt;0,ABS(D19-ROUND(D19,2))&gt;0.0000001,ABS(E19-ROUND(E19,2))&gt;0.0000001),"Ошибка: сумма",IF(ABS(F19)&gt;0.005,"Расхождение","Сверено"))))))</x:f>
      </x:c>
      <x:c r="H19" s="2"/>
      <x:c r="I19" s="9" t="str">
        <x:v>5. Подтверждения сохраните в своём учёте.</x:v>
      </x:c>
      <x:c r="J19" s="2"/>
      <x:c r="K19" s="2"/>
      <x:c r="L19" s="2"/>
    </x:row>
    <x:row r="20" ht="24" customHeight="1">
      <x:c r="C20" s="2"/>
      <x:c r="D20" s="18"/>
      <x:c r="E20" s="18"/>
      <x:c r="F20" s="18"/>
      <x:c r="G20" s="2"/>
      <x:c r="H20" s="2"/>
      <x:c r="I20" s="2"/>
      <x:c r="J20" s="2"/>
      <x:c r="K20" s="2"/>
      <x:c r="L20" s="2"/>
    </x:row>
    <x:row r="21" ht="24" customHeight="1">
      <x:c r="C21" s="21" t="str">
        <x:v>Итого</x:v>
      </x:c>
      <x:c r="D21" s="22" t="n">
        <x:f>IF(COUNTA(C10:E19)=0,"",IF(COUNTIFS(G10:G19,"Ошибка: нет названия")+COUNTIFS(G10:G19,"Ошибка: повтор счёта")+COUNTIFS(G10:G19,"Ошибка: нет суммы")+COUNTIFS(G10:G19,"Ошибка: сумма")+SUM(IF(ISERROR(G10),1,0),IF(ISERROR(G11),1,0),IF(ISERROR(G12),1,0),IF(ISERROR(G13),1,0),IF(ISERROR(G14),1,0),IF(ISERROR(G15),1,0),IF(ISERROR(G16),1,0),IF(ISERROR(G17),1,0),IF(ISERROR(G18),1,0),IF(ISERROR(G19),1,0))&gt;0,"",SUM(D10:D19)))</x:f>
        <x:v>100000</x:v>
      </x:c>
      <x:c r="E21" s="22" t="n">
        <x:f>IF(COUNTA(C10:E19)=0,"",IF(COUNTIFS(G10:G19,"Ошибка: нет названия")+COUNTIFS(G10:G19,"Ошибка: повтор счёта")+COUNTIFS(G10:G19,"Ошибка: нет суммы")+COUNTIFS(G10:G19,"Ошибка: сумма")+SUM(IF(ISERROR(G10),1,0),IF(ISERROR(G11),1,0),IF(ISERROR(G12),1,0),IF(ISERROR(G13),1,0),IF(ISERROR(G14),1,0),IF(ISERROR(G15),1,0),IF(ISERROR(G16),1,0),IF(ISERROR(G17),1,0),IF(ISERROR(G18),1,0),IF(ISERROR(G19),1,0))&gt;0,"",SUM(E10:E19)))</x:f>
        <x:v>100000</x:v>
      </x:c>
      <x:c r="F21" s="22" t="n">
        <x:f>IF(AND(ISNUMBER(D21),ISNUMBER(E21)),ROUND(D21-E21,2),"")</x:f>
        <x:v>0</x:v>
      </x:c>
      <x:c r="G21" s="21"/>
      <x:c r="H21" s="2"/>
      <x:c r="I21" s="9" t="str">
        <x:v>6. Ноль — допустимый известный остаток.</x:v>
      </x:c>
      <x:c r="J21" s="2"/>
      <x:c r="K21" s="2"/>
      <x:c r="L21" s="2"/>
    </x:row>
    <x:row r="22" ht="24" customHeight="1">
      <x:c r="C22" s="2"/>
      <x:c r="D22" s="2"/>
      <x:c r="E22" s="2"/>
      <x:c r="F22" s="2"/>
      <x:c r="G22" s="2"/>
      <x:c r="H22" s="2"/>
      <x:c r="I22" s="2"/>
      <x:c r="J22" s="2"/>
      <x:c r="K22" s="2"/>
      <x:c r="L22" s="2"/>
    </x:row>
    <x:row r="23" ht="24" customHeight="1">
      <x:c r="C23" s="19" t="str">
        <x:v>Начальный остаток для плана</x:v>
      </x:c>
      <x:c r="D23" s="24" t="n">
        <x:f>IF(AND(ISNUMBER(D21),COUNTIFS(G10:G19,"Расхождение")=0),D21,"")</x:f>
        <x:v>100000</x:v>
      </x:c>
      <x:c r="E23" s="2"/>
      <x:c r="F23" s="2"/>
      <x:c r="G23" s="2"/>
      <x:c r="H23" s="2"/>
      <x:c r="I23" s="9" t="str">
        <x:v>Пустая сумма означает: данных нет.</x:v>
      </x:c>
      <x:c r="J23" s="2"/>
      <x:c r="K23" s="2"/>
      <x:c r="L23" s="2"/>
    </x:row>
    <x:row r="24" ht="24" customHeight="1">
      <x:c r="C24" s="2" t="str">
        <x:v>Готовность данных</x:v>
      </x:c>
      <x:c r="D24" s="2" t="str">
        <x:f>IF(COUNTA(C10:E19)=0,"Нет данных",IF(COUNTIFS(G10:G19,"Ошибка: нет названия")+COUNTIFS(G10:G19,"Ошибка: повтор счёта")+COUNTIFS(G10:G19,"Ошибка: нет суммы")+COUNTIFS(G10:G19,"Ошибка: сумма")+SUM(IF(ISERROR(G10),1,0),IF(ISERROR(G11),1,0),IF(ISERROR(G12),1,0),IF(ISERROR(G13),1,0),IF(ISERROR(G14),1,0),IF(ISERROR(G15),1,0),IF(ISERROR(G16),1,0),IF(ISERROR(G17),1,0),IF(ISERROR(G18),1,0),IF(ISERROR(G19),1,0))&gt;0,"Заполните или исправьте строки",IF(COUNTIFS(G10:G19,"Расхождение")&gt;0,"Разберите расхождения по счетам","Сверка завершена")))</x:f>
        <x:v>Сверка завершена</x:v>
      </x:c>
      <x:c r="E24" s="2"/>
      <x:c r="F24" s="2"/>
      <x:c r="G24" s="2"/>
      <x:c r="H24" s="2"/>
      <x:c r="I24" s="2"/>
      <x:c r="J24" s="2"/>
      <x:c r="K24" s="2"/>
      <x:c r="L24" s="2"/>
    </x:row>
    <x:row r="25" ht="24" customHeight="1"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 ht="24" customHeight="1"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 ht="24" customHeight="1">
      <x:c r="C27" s="9" t="str">
        <x:v>Внутренние переводы меняют состав остатков, но не создают доход компании.</x:v>
      </x:c>
      <x:c r="D27" s="2"/>
      <x:c r="E27" s="2"/>
      <x:c r="F27" s="2"/>
      <x:c r="G27" s="2"/>
      <x:c r="H27" s="2"/>
      <x:c r="I27" s="2"/>
      <x:c r="J27" s="2"/>
      <x:c r="K27" s="2"/>
      <x:c r="L27" s="2"/>
    </x:row>
    <x:row r="28" ht="24" customHeight="1"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4" customHeight="1">
      <x:c r="C29" s="9" t="str">
        <x:v>Этот шаблон не распределяет деньги по фондам и не рассчитывает доступность новой покупки.</x:v>
      </x:c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24" customHeight="1"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4" customHeight="1">
      <x:c r="C31" s="9" t="str">
        <x:v>Учтите личные деньги, займы и деньги в пути отдельно по принятому контуру; не скрывайте расхождения.</x:v>
      </x:c>
      <x:c r="D31" s="2"/>
      <x:c r="E31" s="2"/>
      <x:c r="F31" s="2"/>
      <x:c r="G31" s="2"/>
      <x:c r="H31" s="2"/>
      <x:c r="I31" s="2"/>
      <x:c r="J31" s="2"/>
      <x:c r="K31" s="2"/>
      <x:c r="L31" s="2"/>
    </x:row>
    <x:row r="32" ht="24" customHeight="1"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4" customHeight="1"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 ht="24" customHeight="1"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</x:sheetData>
  <x:conditionalFormatting sqref="F10:F21">
    <x:cfRule type="expression" dxfId="0" priority="1">
      <x:formula>ABS(F10)&gt;0.005</x:formula>
    </x:cfRule>
  </x:conditionalFormatting>
  <x:pageMargins left="0.7" right="0.7" top="0.75" bottom="0.75" header="0.3" footer="0.3"/>
</x:worksheet>
</file>